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F\BFI\BUDŻET 2023\PROJEKT BUDŻETU 2023\PROJEKT BUDŻETU 15.11\materiały informacyjne 2023\"/>
    </mc:Choice>
  </mc:AlternateContent>
  <xr:revisionPtr revIDLastSave="0" documentId="13_ncr:1_{E827EEFC-3EC6-4308-AC85-9293CB5D7FE3}" xr6:coauthVersionLast="36" xr6:coauthVersionMax="47" xr10:uidLastSave="{00000000-0000-0000-0000-000000000000}"/>
  <bookViews>
    <workbookView xWindow="1950" yWindow="810" windowWidth="13485" windowHeight="15390" activeTab="2" xr2:uid="{00000000-000D-0000-FFFF-FFFF00000000}"/>
  </bookViews>
  <sheets>
    <sheet name="dochody-porównanie" sheetId="3" r:id="rId1"/>
    <sheet name="wydatki-porównanie" sheetId="4" r:id="rId2"/>
    <sheet name="inwestycje jednoroczne" sheetId="1" r:id="rId3"/>
    <sheet name="inwestycje wieloletnie" sheetId="2" r:id="rId4"/>
  </sheets>
  <externalReferences>
    <externalReference r:id="rId5"/>
  </externalReferences>
  <definedNames>
    <definedName name="IdRozp">[1]DaneZrodlowe!$N$3</definedName>
    <definedName name="nowwa" localSheetId="1">#REF!</definedName>
    <definedName name="nowwa">#REF!</definedName>
    <definedName name="Obszar_1093uku" localSheetId="1">#REF!</definedName>
    <definedName name="Obszar_1093uku">#REF!</definedName>
    <definedName name="_xlnm.Print_Area" localSheetId="0">'dochody-porównanie'!$A$1:$K$634</definedName>
    <definedName name="_xlnm.Print_Area" localSheetId="2">'inwestycje jednoroczne'!$A$1:$E$161</definedName>
    <definedName name="_xlnm.Print_Area" localSheetId="3">'inwestycje wieloletnie'!$A$1:$F$72</definedName>
    <definedName name="_xlnm.Print_Area" localSheetId="1">'wydatki-porównanie'!$A$1:$H$2821</definedName>
    <definedName name="Ostatni_rok_analizy">[1]WPF_Analiza!$Q$1</definedName>
    <definedName name="RokBazowy">[1]DaneZrodlowe!$N$1</definedName>
    <definedName name="RokMaxProg">[1]DaneZrodlowe!$N$2</definedName>
    <definedName name="Srednia">[1]DaneZrodlowe!$N$4</definedName>
    <definedName name="_xlnm.Print_Titles" localSheetId="0">'dochody-porównanie'!$5:$7</definedName>
    <definedName name="_xlnm.Print_Titles" localSheetId="2">'inwestycje jednoroczne'!$3:$4</definedName>
    <definedName name="_xlnm.Print_Titles" localSheetId="3">'inwestycje wieloletnie'!$3:$5</definedName>
    <definedName name="_xlnm.Print_Titles" localSheetId="1">'wydatki-porównanie'!$6:$7</definedName>
    <definedName name="ver_raportu">[1]WPF_bazowy!$N$3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77" i="4" l="1"/>
  <c r="G964" i="4"/>
  <c r="E36" i="2" l="1"/>
  <c r="G2816" i="4" l="1"/>
  <c r="H2816" i="4" s="1"/>
  <c r="F2816" i="4"/>
  <c r="E2816" i="4"/>
  <c r="G2815" i="4"/>
  <c r="F2815" i="4"/>
  <c r="E2815" i="4"/>
  <c r="H2804" i="4"/>
  <c r="G2803" i="4"/>
  <c r="G2802" i="4" s="1"/>
  <c r="F2803" i="4"/>
  <c r="E2803" i="4"/>
  <c r="E2802" i="4" s="1"/>
  <c r="H2800" i="4"/>
  <c r="G2799" i="4"/>
  <c r="G2798" i="4" s="1"/>
  <c r="F2799" i="4"/>
  <c r="F2798" i="4" s="1"/>
  <c r="E2799" i="4"/>
  <c r="E2798" i="4" s="1"/>
  <c r="H2796" i="4"/>
  <c r="G2794" i="4"/>
  <c r="G2793" i="4" s="1"/>
  <c r="F2794" i="4"/>
  <c r="F2793" i="4" s="1"/>
  <c r="E2794" i="4"/>
  <c r="E2793" i="4" s="1"/>
  <c r="H2791" i="4"/>
  <c r="H2790" i="4"/>
  <c r="G2789" i="4"/>
  <c r="F2789" i="4"/>
  <c r="E2789" i="4"/>
  <c r="H2787" i="4"/>
  <c r="H2786" i="4"/>
  <c r="H2785" i="4"/>
  <c r="G2784" i="4"/>
  <c r="F2784" i="4"/>
  <c r="E2784" i="4"/>
  <c r="H2782" i="4"/>
  <c r="H2781" i="4"/>
  <c r="G2780" i="4"/>
  <c r="F2780" i="4"/>
  <c r="E2780" i="4"/>
  <c r="H2778" i="4"/>
  <c r="H2777" i="4"/>
  <c r="G2776" i="4"/>
  <c r="F2776" i="4"/>
  <c r="F2775" i="4" s="1"/>
  <c r="E2776" i="4"/>
  <c r="H2772" i="4"/>
  <c r="H2771" i="4"/>
  <c r="H2770" i="4"/>
  <c r="H2769" i="4"/>
  <c r="H2768" i="4"/>
  <c r="G2767" i="4"/>
  <c r="G2766" i="4" s="1"/>
  <c r="G2762" i="4" s="1"/>
  <c r="F2767" i="4"/>
  <c r="E2767" i="4"/>
  <c r="E2766" i="4" s="1"/>
  <c r="E2762" i="4" s="1"/>
  <c r="H2765" i="4"/>
  <c r="H2764" i="4"/>
  <c r="H2763" i="4"/>
  <c r="H2760" i="4"/>
  <c r="G2759" i="4"/>
  <c r="F2759" i="4"/>
  <c r="E2759" i="4"/>
  <c r="H2757" i="4"/>
  <c r="H2756" i="4"/>
  <c r="G2755" i="4"/>
  <c r="G2751" i="4" s="1"/>
  <c r="F2755" i="4"/>
  <c r="F2751" i="4" s="1"/>
  <c r="E2755" i="4"/>
  <c r="E2751" i="4" s="1"/>
  <c r="H2754" i="4"/>
  <c r="H2753" i="4"/>
  <c r="H2752" i="4"/>
  <c r="H2748" i="4"/>
  <c r="H2747" i="4"/>
  <c r="H2746" i="4"/>
  <c r="H2745" i="4"/>
  <c r="H2744" i="4"/>
  <c r="H2743" i="4"/>
  <c r="H2742" i="4"/>
  <c r="G2741" i="4"/>
  <c r="F2741" i="4"/>
  <c r="E2741" i="4"/>
  <c r="H2739" i="4"/>
  <c r="H2738" i="4"/>
  <c r="H2737" i="4"/>
  <c r="H2736" i="4"/>
  <c r="H2735" i="4"/>
  <c r="H2734" i="4"/>
  <c r="H2733" i="4"/>
  <c r="H2732" i="4"/>
  <c r="H2731" i="4"/>
  <c r="H2730" i="4"/>
  <c r="H2729" i="4"/>
  <c r="H2728" i="4"/>
  <c r="H2727" i="4"/>
  <c r="H2726" i="4"/>
  <c r="H2725" i="4"/>
  <c r="H2724" i="4"/>
  <c r="H2723" i="4"/>
  <c r="G2722" i="4"/>
  <c r="F2722" i="4"/>
  <c r="E2722" i="4"/>
  <c r="H2720" i="4"/>
  <c r="H2719" i="4"/>
  <c r="H2718" i="4"/>
  <c r="H2717" i="4"/>
  <c r="H2716" i="4"/>
  <c r="H2715" i="4"/>
  <c r="G2714" i="4"/>
  <c r="F2714" i="4"/>
  <c r="E2714" i="4"/>
  <c r="H2710" i="4"/>
  <c r="H2709" i="4"/>
  <c r="H2708" i="4"/>
  <c r="H2707" i="4"/>
  <c r="H2705" i="4"/>
  <c r="H2704" i="4"/>
  <c r="H2703" i="4"/>
  <c r="H2702" i="4"/>
  <c r="H2701" i="4"/>
  <c r="H2700" i="4"/>
  <c r="H2699" i="4"/>
  <c r="H2698" i="4"/>
  <c r="H2697" i="4"/>
  <c r="H2696" i="4"/>
  <c r="H2695" i="4"/>
  <c r="H2694" i="4"/>
  <c r="G2693" i="4"/>
  <c r="G2692" i="4" s="1"/>
  <c r="F2693" i="4"/>
  <c r="F2692" i="4" s="1"/>
  <c r="E2693" i="4"/>
  <c r="E2692" i="4" s="1"/>
  <c r="H2690" i="4"/>
  <c r="H2689" i="4"/>
  <c r="H2688" i="4"/>
  <c r="H2687" i="4"/>
  <c r="H2686" i="4"/>
  <c r="H2685" i="4"/>
  <c r="H2684" i="4"/>
  <c r="H2683" i="4"/>
  <c r="H2682" i="4"/>
  <c r="H2681" i="4"/>
  <c r="H2680" i="4"/>
  <c r="H2679" i="4"/>
  <c r="H2678" i="4"/>
  <c r="H2677" i="4"/>
  <c r="H2676" i="4"/>
  <c r="H2675" i="4"/>
  <c r="H2674" i="4"/>
  <c r="H2673" i="4"/>
  <c r="H2672" i="4"/>
  <c r="H2671" i="4"/>
  <c r="G2670" i="4"/>
  <c r="F2670" i="4"/>
  <c r="E2670" i="4"/>
  <c r="H2668" i="4"/>
  <c r="H2667" i="4"/>
  <c r="H2666" i="4"/>
  <c r="G2665" i="4"/>
  <c r="F2665" i="4"/>
  <c r="E2665" i="4"/>
  <c r="G2663" i="4"/>
  <c r="H2663" i="4" s="1"/>
  <c r="G2662" i="4"/>
  <c r="H2662" i="4" s="1"/>
  <c r="F2661" i="4"/>
  <c r="E2661" i="4"/>
  <c r="G2659" i="4"/>
  <c r="G2656" i="4" s="1"/>
  <c r="H2658" i="4"/>
  <c r="H2657" i="4"/>
  <c r="F2656" i="4"/>
  <c r="E2656" i="4"/>
  <c r="H2652" i="4"/>
  <c r="G2651" i="4"/>
  <c r="F2651" i="4"/>
  <c r="F2650" i="4" s="1"/>
  <c r="E2651" i="4"/>
  <c r="E2650" i="4" s="1"/>
  <c r="H2648" i="4"/>
  <c r="H2647" i="4"/>
  <c r="H2646" i="4"/>
  <c r="H2645" i="4"/>
  <c r="H2644" i="4"/>
  <c r="H2643" i="4"/>
  <c r="G2642" i="4"/>
  <c r="G2637" i="4" s="1"/>
  <c r="F2642" i="4"/>
  <c r="E2642" i="4"/>
  <c r="E2637" i="4" s="1"/>
  <c r="H2641" i="4"/>
  <c r="H2640" i="4"/>
  <c r="H2639" i="4"/>
  <c r="G2638" i="4"/>
  <c r="F2638" i="4"/>
  <c r="E2638" i="4"/>
  <c r="H2635" i="4"/>
  <c r="G2634" i="4"/>
  <c r="F2634" i="4"/>
  <c r="E2634" i="4"/>
  <c r="H2632" i="4"/>
  <c r="H2631" i="4"/>
  <c r="H2630" i="4"/>
  <c r="G2629" i="4"/>
  <c r="G2628" i="4" s="1"/>
  <c r="F2629" i="4"/>
  <c r="E2629" i="4"/>
  <c r="E2628" i="4" s="1"/>
  <c r="H2626" i="4"/>
  <c r="H2625" i="4"/>
  <c r="H2624" i="4"/>
  <c r="G2623" i="4"/>
  <c r="G2622" i="4" s="1"/>
  <c r="F2623" i="4"/>
  <c r="F2622" i="4" s="1"/>
  <c r="E2623" i="4"/>
  <c r="E2622" i="4" s="1"/>
  <c r="H2620" i="4"/>
  <c r="H2619" i="4"/>
  <c r="G2618" i="4"/>
  <c r="F2618" i="4"/>
  <c r="F2617" i="4" s="1"/>
  <c r="E2618" i="4"/>
  <c r="E2617" i="4" s="1"/>
  <c r="H2615" i="4"/>
  <c r="H2614" i="4"/>
  <c r="H2613" i="4"/>
  <c r="H2612" i="4"/>
  <c r="G2611" i="4"/>
  <c r="F2611" i="4"/>
  <c r="E2611" i="4"/>
  <c r="H2609" i="4"/>
  <c r="H2608" i="4"/>
  <c r="G2607" i="4"/>
  <c r="F2607" i="4"/>
  <c r="H2604" i="4"/>
  <c r="G2603" i="4"/>
  <c r="G2602" i="4" s="1"/>
  <c r="F2603" i="4"/>
  <c r="F2602" i="4" s="1"/>
  <c r="E2603" i="4"/>
  <c r="E2602" i="4" s="1"/>
  <c r="H2600" i="4"/>
  <c r="H2599" i="4"/>
  <c r="G2598" i="4"/>
  <c r="G2597" i="4" s="1"/>
  <c r="G2596" i="4" s="1"/>
  <c r="F2598" i="4"/>
  <c r="E2598" i="4"/>
  <c r="E2597" i="4" s="1"/>
  <c r="H2595" i="4"/>
  <c r="G2594" i="4"/>
  <c r="F2594" i="4"/>
  <c r="F2593" i="4" s="1"/>
  <c r="E2594" i="4"/>
  <c r="E2593" i="4" s="1"/>
  <c r="H2591" i="4"/>
  <c r="H2590" i="4"/>
  <c r="H2589" i="4"/>
  <c r="G2588" i="4"/>
  <c r="G2587" i="4" s="1"/>
  <c r="F2588" i="4"/>
  <c r="E2588" i="4"/>
  <c r="E2587" i="4" s="1"/>
  <c r="H2585" i="4"/>
  <c r="H2584" i="4"/>
  <c r="G2583" i="4"/>
  <c r="F2583" i="4"/>
  <c r="E2583" i="4"/>
  <c r="H2581" i="4"/>
  <c r="H2580" i="4"/>
  <c r="H2579" i="4"/>
  <c r="H2578" i="4"/>
  <c r="H2577" i="4"/>
  <c r="H2576" i="4"/>
  <c r="G2575" i="4"/>
  <c r="G2574" i="4" s="1"/>
  <c r="F2575" i="4"/>
  <c r="E2575" i="4"/>
  <c r="E2574" i="4" s="1"/>
  <c r="H2572" i="4"/>
  <c r="H2571" i="4"/>
  <c r="H2570" i="4"/>
  <c r="G2569" i="4"/>
  <c r="G2568" i="4" s="1"/>
  <c r="F2569" i="4"/>
  <c r="F2568" i="4" s="1"/>
  <c r="E2569" i="4"/>
  <c r="E2568" i="4" s="1"/>
  <c r="E2567" i="4" s="1"/>
  <c r="H2566" i="4"/>
  <c r="G2565" i="4"/>
  <c r="G2564" i="4" s="1"/>
  <c r="F2565" i="4"/>
  <c r="E2565" i="4"/>
  <c r="E2564" i="4" s="1"/>
  <c r="H2562" i="4"/>
  <c r="H2561" i="4"/>
  <c r="G2560" i="4"/>
  <c r="G2559" i="4" s="1"/>
  <c r="F2560" i="4"/>
  <c r="F2559" i="4" s="1"/>
  <c r="E2560" i="4"/>
  <c r="E2559" i="4" s="1"/>
  <c r="H2557" i="4"/>
  <c r="G2556" i="4"/>
  <c r="G2555" i="4" s="1"/>
  <c r="F2556" i="4"/>
  <c r="F2555" i="4" s="1"/>
  <c r="E2556" i="4"/>
  <c r="E2555" i="4" s="1"/>
  <c r="H2553" i="4"/>
  <c r="H2552" i="4"/>
  <c r="G2551" i="4"/>
  <c r="G2550" i="4" s="1"/>
  <c r="F2551" i="4"/>
  <c r="E2551" i="4"/>
  <c r="E2550" i="4" s="1"/>
  <c r="H2548" i="4"/>
  <c r="H2547" i="4"/>
  <c r="G2546" i="4"/>
  <c r="G2545" i="4" s="1"/>
  <c r="F2546" i="4"/>
  <c r="F2545" i="4" s="1"/>
  <c r="E2546" i="4"/>
  <c r="E2545" i="4" s="1"/>
  <c r="H2543" i="4"/>
  <c r="H2542" i="4"/>
  <c r="G2541" i="4"/>
  <c r="F2541" i="4"/>
  <c r="E2541" i="4"/>
  <c r="H2539" i="4"/>
  <c r="H2538" i="4"/>
  <c r="G2537" i="4"/>
  <c r="F2537" i="4"/>
  <c r="E2537" i="4"/>
  <c r="H2535" i="4"/>
  <c r="G2534" i="4"/>
  <c r="G2533" i="4" s="1"/>
  <c r="F2534" i="4"/>
  <c r="F2533" i="4" s="1"/>
  <c r="E2534" i="4"/>
  <c r="E2533" i="4" s="1"/>
  <c r="H2529" i="4"/>
  <c r="H2528" i="4"/>
  <c r="G2527" i="4"/>
  <c r="G2526" i="4" s="1"/>
  <c r="F2527" i="4"/>
  <c r="E2527" i="4"/>
  <c r="E2526" i="4" s="1"/>
  <c r="H2524" i="4"/>
  <c r="G2523" i="4"/>
  <c r="F2523" i="4"/>
  <c r="E2523" i="4"/>
  <c r="H2521" i="4"/>
  <c r="H2520" i="4"/>
  <c r="H2519" i="4"/>
  <c r="H2518" i="4"/>
  <c r="G2517" i="4"/>
  <c r="F2517" i="4"/>
  <c r="E2517" i="4"/>
  <c r="H2515" i="4"/>
  <c r="H2514" i="4"/>
  <c r="H2513" i="4"/>
  <c r="H2512" i="4"/>
  <c r="G2511" i="4"/>
  <c r="F2511" i="4"/>
  <c r="E2511" i="4"/>
  <c r="H2507" i="4"/>
  <c r="H2506" i="4"/>
  <c r="G2505" i="4"/>
  <c r="F2505" i="4"/>
  <c r="E2505" i="4"/>
  <c r="H2503" i="4"/>
  <c r="H2502" i="4"/>
  <c r="H2501" i="4"/>
  <c r="G2500" i="4"/>
  <c r="F2500" i="4"/>
  <c r="E2500" i="4"/>
  <c r="E2499" i="4" s="1"/>
  <c r="E2498" i="4" s="1"/>
  <c r="E2497" i="4" s="1"/>
  <c r="H2496" i="4"/>
  <c r="H2495" i="4"/>
  <c r="G2494" i="4"/>
  <c r="F2494" i="4"/>
  <c r="E2494" i="4"/>
  <c r="H2492" i="4"/>
  <c r="H2491" i="4"/>
  <c r="H2490" i="4"/>
  <c r="G2489" i="4"/>
  <c r="F2489" i="4"/>
  <c r="E2489" i="4"/>
  <c r="H2485" i="4"/>
  <c r="H2484" i="4"/>
  <c r="G2483" i="4"/>
  <c r="F2483" i="4"/>
  <c r="E2483" i="4"/>
  <c r="H2481" i="4"/>
  <c r="H2480" i="4"/>
  <c r="H2479" i="4"/>
  <c r="G2478" i="4"/>
  <c r="G2477" i="4" s="1"/>
  <c r="G2476" i="4" s="1"/>
  <c r="F2478" i="4"/>
  <c r="F2477" i="4" s="1"/>
  <c r="F2476" i="4" s="1"/>
  <c r="F2475" i="4" s="1"/>
  <c r="E2478" i="4"/>
  <c r="H2474" i="4"/>
  <c r="H2473" i="4"/>
  <c r="H2472" i="4"/>
  <c r="H2471" i="4"/>
  <c r="H2470" i="4"/>
  <c r="H2469" i="4"/>
  <c r="G2468" i="4"/>
  <c r="F2468" i="4"/>
  <c r="E2468" i="4"/>
  <c r="H2466" i="4"/>
  <c r="H2465" i="4"/>
  <c r="H2464" i="4"/>
  <c r="G2463" i="4"/>
  <c r="F2463" i="4"/>
  <c r="E2463" i="4"/>
  <c r="E2462" i="4" s="1"/>
  <c r="E2461" i="4" s="1"/>
  <c r="E2460" i="4" s="1"/>
  <c r="H2459" i="4"/>
  <c r="H2458" i="4"/>
  <c r="H2457" i="4"/>
  <c r="H2456" i="4"/>
  <c r="H2455" i="4"/>
  <c r="H2454" i="4"/>
  <c r="H2453" i="4"/>
  <c r="H2452" i="4"/>
  <c r="H2451" i="4"/>
  <c r="H2450" i="4"/>
  <c r="G2449" i="4"/>
  <c r="F2449" i="4"/>
  <c r="F2448" i="4" s="1"/>
  <c r="F2447" i="4" s="1"/>
  <c r="F2446" i="4" s="1"/>
  <c r="E2449" i="4"/>
  <c r="E2448" i="4" s="1"/>
  <c r="E2447" i="4" s="1"/>
  <c r="E2446" i="4" s="1"/>
  <c r="H2445" i="4"/>
  <c r="G2444" i="4"/>
  <c r="F2444" i="4"/>
  <c r="E2444" i="4"/>
  <c r="H2442" i="4"/>
  <c r="H2441" i="4"/>
  <c r="H2440" i="4"/>
  <c r="G2439" i="4"/>
  <c r="F2439" i="4"/>
  <c r="F2438" i="4" s="1"/>
  <c r="F2437" i="4" s="1"/>
  <c r="F2436" i="4" s="1"/>
  <c r="E2439" i="4"/>
  <c r="E2438" i="4" s="1"/>
  <c r="H2435" i="4"/>
  <c r="G2434" i="4"/>
  <c r="G2433" i="4" s="1"/>
  <c r="G2429" i="4" s="1"/>
  <c r="F2434" i="4"/>
  <c r="F2433" i="4" s="1"/>
  <c r="E2434" i="4"/>
  <c r="E2433" i="4" s="1"/>
  <c r="E2429" i="4" s="1"/>
  <c r="H2432" i="4"/>
  <c r="H2431" i="4"/>
  <c r="H2430" i="4"/>
  <c r="H2428" i="4"/>
  <c r="H2427" i="4"/>
  <c r="H2426" i="4"/>
  <c r="H2425" i="4"/>
  <c r="H2424" i="4"/>
  <c r="H2423" i="4"/>
  <c r="H2422" i="4"/>
  <c r="H2420" i="4"/>
  <c r="H2419" i="4"/>
  <c r="H2418" i="4"/>
  <c r="G2417" i="4"/>
  <c r="F2417" i="4"/>
  <c r="E2417" i="4"/>
  <c r="H2415" i="4"/>
  <c r="G2414" i="4"/>
  <c r="F2414" i="4"/>
  <c r="F2413" i="4" s="1"/>
  <c r="F2412" i="4" s="1"/>
  <c r="F2411" i="4" s="1"/>
  <c r="E2414" i="4"/>
  <c r="E2413" i="4" s="1"/>
  <c r="E2412" i="4" s="1"/>
  <c r="E2411" i="4" s="1"/>
  <c r="H2410" i="4"/>
  <c r="G2409" i="4"/>
  <c r="F2409" i="4"/>
  <c r="E2409" i="4"/>
  <c r="H2407" i="4"/>
  <c r="H2406" i="4"/>
  <c r="H2405" i="4"/>
  <c r="H2404" i="4"/>
  <c r="H2403" i="4"/>
  <c r="H2402" i="4"/>
  <c r="H2401" i="4"/>
  <c r="H2400" i="4"/>
  <c r="H2399" i="4"/>
  <c r="H2398" i="4"/>
  <c r="H2397" i="4"/>
  <c r="H2396" i="4"/>
  <c r="H2395" i="4"/>
  <c r="H2394" i="4"/>
  <c r="H2393" i="4"/>
  <c r="G2392" i="4"/>
  <c r="F2392" i="4"/>
  <c r="E2392" i="4"/>
  <c r="H2390" i="4"/>
  <c r="H2389" i="4"/>
  <c r="H2388" i="4"/>
  <c r="H2387" i="4"/>
  <c r="H2386" i="4"/>
  <c r="H2385" i="4"/>
  <c r="G2384" i="4"/>
  <c r="F2384" i="4"/>
  <c r="E2384" i="4"/>
  <c r="H2380" i="4"/>
  <c r="H2379" i="4"/>
  <c r="H2378" i="4"/>
  <c r="H2377" i="4"/>
  <c r="H2376" i="4"/>
  <c r="H2375" i="4"/>
  <c r="H2374" i="4"/>
  <c r="H2373" i="4"/>
  <c r="H2372" i="4"/>
  <c r="H2371" i="4"/>
  <c r="H2370" i="4"/>
  <c r="H2369" i="4"/>
  <c r="H2368" i="4"/>
  <c r="H2367" i="4"/>
  <c r="H2366" i="4"/>
  <c r="H2365" i="4"/>
  <c r="H2364" i="4"/>
  <c r="H2363" i="4"/>
  <c r="H2362" i="4"/>
  <c r="H2361" i="4"/>
  <c r="H2360" i="4"/>
  <c r="H2359" i="4"/>
  <c r="H2358" i="4"/>
  <c r="H2357" i="4"/>
  <c r="H2356" i="4"/>
  <c r="H2355" i="4"/>
  <c r="H2354" i="4"/>
  <c r="H2353" i="4"/>
  <c r="H2352" i="4"/>
  <c r="H2351" i="4"/>
  <c r="H2350" i="4"/>
  <c r="H2349" i="4"/>
  <c r="H2348" i="4"/>
  <c r="H2347" i="4"/>
  <c r="H2346" i="4"/>
  <c r="H2345" i="4"/>
  <c r="H2344" i="4"/>
  <c r="H2343" i="4"/>
  <c r="H2342" i="4"/>
  <c r="H2341" i="4"/>
  <c r="H2340" i="4"/>
  <c r="H2339" i="4"/>
  <c r="H2338" i="4"/>
  <c r="H2337" i="4"/>
  <c r="H2336" i="4"/>
  <c r="H2335" i="4"/>
  <c r="H2334" i="4"/>
  <c r="H2333" i="4"/>
  <c r="G2332" i="4"/>
  <c r="G2331" i="4" s="1"/>
  <c r="G2330" i="4" s="1"/>
  <c r="F2332" i="4"/>
  <c r="F2331" i="4" s="1"/>
  <c r="F2330" i="4" s="1"/>
  <c r="E2332" i="4"/>
  <c r="E2331" i="4" s="1"/>
  <c r="E2330" i="4" s="1"/>
  <c r="H2329" i="4"/>
  <c r="H2328" i="4"/>
  <c r="G2327" i="4"/>
  <c r="G2326" i="4" s="1"/>
  <c r="F2327" i="4"/>
  <c r="E2327" i="4"/>
  <c r="E2326" i="4" s="1"/>
  <c r="E2325" i="4" s="1"/>
  <c r="E2324" i="4" s="1"/>
  <c r="H2322" i="4"/>
  <c r="H2321" i="4"/>
  <c r="H2320" i="4"/>
  <c r="H2319" i="4"/>
  <c r="H2318" i="4"/>
  <c r="G2317" i="4"/>
  <c r="G2316" i="4" s="1"/>
  <c r="F2317" i="4"/>
  <c r="F2316" i="4" s="1"/>
  <c r="F2315" i="4" s="1"/>
  <c r="E2317" i="4"/>
  <c r="E2316" i="4" s="1"/>
  <c r="E2315" i="4" s="1"/>
  <c r="H2314" i="4"/>
  <c r="G2313" i="4"/>
  <c r="G2312" i="4" s="1"/>
  <c r="F2313" i="4"/>
  <c r="F2312" i="4" s="1"/>
  <c r="E2313" i="4"/>
  <c r="E2312" i="4" s="1"/>
  <c r="H2310" i="4"/>
  <c r="G2309" i="4"/>
  <c r="F2309" i="4"/>
  <c r="E2309" i="4"/>
  <c r="H2307" i="4"/>
  <c r="H2306" i="4"/>
  <c r="H2305" i="4"/>
  <c r="H2304" i="4"/>
  <c r="H2303" i="4"/>
  <c r="H2302" i="4"/>
  <c r="H2301" i="4"/>
  <c r="H2300" i="4"/>
  <c r="H2299" i="4"/>
  <c r="G2298" i="4"/>
  <c r="F2298" i="4"/>
  <c r="E2298" i="4"/>
  <c r="H2296" i="4"/>
  <c r="H2295" i="4"/>
  <c r="H2294" i="4"/>
  <c r="H2293" i="4"/>
  <c r="H2292" i="4"/>
  <c r="H2291" i="4"/>
  <c r="H2290" i="4"/>
  <c r="G2289" i="4"/>
  <c r="F2289" i="4"/>
  <c r="E2289" i="4"/>
  <c r="H2285" i="4"/>
  <c r="H2284" i="4"/>
  <c r="H2283" i="4"/>
  <c r="H2282" i="4"/>
  <c r="H2281" i="4"/>
  <c r="H2280" i="4"/>
  <c r="H2279" i="4"/>
  <c r="H2278" i="4"/>
  <c r="H2277" i="4"/>
  <c r="H2276" i="4"/>
  <c r="H2275" i="4"/>
  <c r="H2274" i="4"/>
  <c r="H2273" i="4"/>
  <c r="H2272" i="4"/>
  <c r="H2271" i="4"/>
  <c r="H2270" i="4"/>
  <c r="H2269" i="4"/>
  <c r="H2268" i="4"/>
  <c r="H2267" i="4"/>
  <c r="H2266" i="4"/>
  <c r="H2265" i="4"/>
  <c r="G2264" i="4"/>
  <c r="G2263" i="4" s="1"/>
  <c r="F2264" i="4"/>
  <c r="E2264" i="4"/>
  <c r="E2263" i="4" s="1"/>
  <c r="E2262" i="4" s="1"/>
  <c r="H2261" i="4"/>
  <c r="G2260" i="4"/>
  <c r="F2260" i="4"/>
  <c r="E2260" i="4"/>
  <c r="H2258" i="4"/>
  <c r="H2257" i="4"/>
  <c r="H2256" i="4"/>
  <c r="H2255" i="4"/>
  <c r="H2254" i="4"/>
  <c r="H2253" i="4"/>
  <c r="H2252" i="4"/>
  <c r="G2251" i="4"/>
  <c r="F2251" i="4"/>
  <c r="E2251" i="4"/>
  <c r="H2249" i="4"/>
  <c r="H2248" i="4"/>
  <c r="H2247" i="4"/>
  <c r="H2246" i="4"/>
  <c r="H2245" i="4"/>
  <c r="H2244" i="4"/>
  <c r="H2243" i="4"/>
  <c r="G2242" i="4"/>
  <c r="F2242" i="4"/>
  <c r="E2242" i="4"/>
  <c r="H2237" i="4"/>
  <c r="H2236" i="4"/>
  <c r="G2235" i="4"/>
  <c r="G2234" i="4" s="1"/>
  <c r="F2235" i="4"/>
  <c r="F2234" i="4" s="1"/>
  <c r="E2235" i="4"/>
  <c r="E2234" i="4" s="1"/>
  <c r="H2232" i="4"/>
  <c r="H2231" i="4"/>
  <c r="H2230" i="4"/>
  <c r="H2229" i="4"/>
  <c r="H2228" i="4"/>
  <c r="H2227" i="4"/>
  <c r="H2226" i="4"/>
  <c r="H2225" i="4"/>
  <c r="H2224" i="4"/>
  <c r="H2223" i="4"/>
  <c r="H2222" i="4"/>
  <c r="H2221" i="4"/>
  <c r="H2220" i="4"/>
  <c r="H2219" i="4"/>
  <c r="H2218" i="4"/>
  <c r="H2217" i="4"/>
  <c r="H2216" i="4"/>
  <c r="H2215" i="4"/>
  <c r="G2214" i="4"/>
  <c r="F2214" i="4"/>
  <c r="E2214" i="4"/>
  <c r="H2212" i="4"/>
  <c r="H2211" i="4"/>
  <c r="H2210" i="4"/>
  <c r="H2209" i="4"/>
  <c r="H2208" i="4"/>
  <c r="H2207" i="4"/>
  <c r="G2206" i="4"/>
  <c r="F2206" i="4"/>
  <c r="E2206" i="4"/>
  <c r="H2203" i="4"/>
  <c r="H2202" i="4"/>
  <c r="H2201" i="4"/>
  <c r="H2200" i="4"/>
  <c r="H2199" i="4"/>
  <c r="H2198" i="4"/>
  <c r="H2197" i="4"/>
  <c r="G2195" i="4"/>
  <c r="G2194" i="4" s="1"/>
  <c r="F2195" i="4"/>
  <c r="E2195" i="4"/>
  <c r="E2194" i="4" s="1"/>
  <c r="F2194" i="4"/>
  <c r="G2192" i="4"/>
  <c r="H2192" i="4" s="1"/>
  <c r="G2191" i="4"/>
  <c r="H2191" i="4" s="1"/>
  <c r="G2190" i="4"/>
  <c r="H2190" i="4" s="1"/>
  <c r="G2189" i="4"/>
  <c r="H2189" i="4" s="1"/>
  <c r="G2188" i="4"/>
  <c r="H2188" i="4" s="1"/>
  <c r="G2187" i="4"/>
  <c r="H2187" i="4" s="1"/>
  <c r="H2186" i="4"/>
  <c r="H2185" i="4"/>
  <c r="G2184" i="4"/>
  <c r="G2183" i="4"/>
  <c r="G2182" i="4"/>
  <c r="H2182" i="4" s="1"/>
  <c r="G2181" i="4"/>
  <c r="H2181" i="4" s="1"/>
  <c r="H2178" i="4"/>
  <c r="H2177" i="4"/>
  <c r="H2176" i="4"/>
  <c r="H2175" i="4"/>
  <c r="G2174" i="4"/>
  <c r="H2174" i="4" s="1"/>
  <c r="G2173" i="4"/>
  <c r="H2173" i="4" s="1"/>
  <c r="G2172" i="4"/>
  <c r="H2172" i="4" s="1"/>
  <c r="G2171" i="4"/>
  <c r="H2171" i="4" s="1"/>
  <c r="G2170" i="4"/>
  <c r="H2170" i="4" s="1"/>
  <c r="G2169" i="4"/>
  <c r="H2169" i="4" s="1"/>
  <c r="G2168" i="4"/>
  <c r="H2168" i="4" s="1"/>
  <c r="G2167" i="4"/>
  <c r="H2167" i="4" s="1"/>
  <c r="G2166" i="4"/>
  <c r="H2166" i="4" s="1"/>
  <c r="G2165" i="4"/>
  <c r="H2165" i="4" s="1"/>
  <c r="G2164" i="4"/>
  <c r="H2164" i="4" s="1"/>
  <c r="G2163" i="4"/>
  <c r="H2163" i="4" s="1"/>
  <c r="H2162" i="4"/>
  <c r="G2161" i="4"/>
  <c r="H2161" i="4" s="1"/>
  <c r="G2160" i="4"/>
  <c r="H2160" i="4" s="1"/>
  <c r="G2159" i="4"/>
  <c r="H2159" i="4" s="1"/>
  <c r="G2158" i="4"/>
  <c r="H2158" i="4" s="1"/>
  <c r="G2157" i="4"/>
  <c r="H2157" i="4" s="1"/>
  <c r="G2156" i="4"/>
  <c r="H2156" i="4" s="1"/>
  <c r="G2155" i="4"/>
  <c r="H2155" i="4" s="1"/>
  <c r="G2154" i="4"/>
  <c r="H2154" i="4" s="1"/>
  <c r="G2153" i="4"/>
  <c r="H2153" i="4" s="1"/>
  <c r="G2152" i="4"/>
  <c r="H2152" i="4" s="1"/>
  <c r="G2151" i="4"/>
  <c r="H2150" i="4"/>
  <c r="F2149" i="4"/>
  <c r="E2149" i="4"/>
  <c r="H2147" i="4"/>
  <c r="H2146" i="4"/>
  <c r="G2145" i="4"/>
  <c r="F2145" i="4"/>
  <c r="E2145" i="4"/>
  <c r="H2143" i="4"/>
  <c r="H2142" i="4"/>
  <c r="H2141" i="4"/>
  <c r="H2140" i="4"/>
  <c r="H2139" i="4"/>
  <c r="H2138" i="4"/>
  <c r="H2137" i="4"/>
  <c r="H2136" i="4"/>
  <c r="H2135" i="4"/>
  <c r="H2134" i="4"/>
  <c r="H2133" i="4"/>
  <c r="H2132" i="4"/>
  <c r="H2131" i="4"/>
  <c r="H2130" i="4"/>
  <c r="H2129" i="4"/>
  <c r="H2128" i="4"/>
  <c r="H2127" i="4"/>
  <c r="H2126" i="4"/>
  <c r="H2125" i="4"/>
  <c r="G2124" i="4"/>
  <c r="F2124" i="4"/>
  <c r="E2124" i="4"/>
  <c r="H2122" i="4"/>
  <c r="H2121" i="4"/>
  <c r="H2120" i="4"/>
  <c r="H2119" i="4"/>
  <c r="H2118" i="4"/>
  <c r="H2117" i="4"/>
  <c r="G2116" i="4"/>
  <c r="F2116" i="4"/>
  <c r="E2116" i="4"/>
  <c r="H2112" i="4"/>
  <c r="H2111" i="4"/>
  <c r="H2110" i="4"/>
  <c r="H2109" i="4"/>
  <c r="H2108" i="4"/>
  <c r="H2107" i="4"/>
  <c r="H2106" i="4"/>
  <c r="H2105" i="4"/>
  <c r="G2104" i="4"/>
  <c r="F2104" i="4"/>
  <c r="F2103" i="4" s="1"/>
  <c r="F2102" i="4" s="1"/>
  <c r="E2104" i="4"/>
  <c r="E2103" i="4" s="1"/>
  <c r="E2102" i="4" s="1"/>
  <c r="H2100" i="4"/>
  <c r="H2099" i="4"/>
  <c r="H2098" i="4"/>
  <c r="H2097" i="4"/>
  <c r="H2096" i="4"/>
  <c r="H2095" i="4"/>
  <c r="H2094" i="4"/>
  <c r="H2093" i="4"/>
  <c r="H2092" i="4"/>
  <c r="H2091" i="4"/>
  <c r="H2090" i="4"/>
  <c r="G2089" i="4"/>
  <c r="G2088" i="4" s="1"/>
  <c r="F2089" i="4"/>
  <c r="F2088" i="4" s="1"/>
  <c r="E2089" i="4"/>
  <c r="E2088" i="4" s="1"/>
  <c r="H2086" i="4"/>
  <c r="H2085" i="4"/>
  <c r="H2084" i="4"/>
  <c r="H2083" i="4"/>
  <c r="H2082" i="4"/>
  <c r="H2081" i="4"/>
  <c r="H2080" i="4"/>
  <c r="H2079" i="4"/>
  <c r="H2078" i="4"/>
  <c r="H2077" i="4"/>
  <c r="H2076" i="4"/>
  <c r="H2075" i="4"/>
  <c r="H2074" i="4"/>
  <c r="H2073" i="4"/>
  <c r="H2072" i="4"/>
  <c r="H2071" i="4"/>
  <c r="H2070" i="4"/>
  <c r="H2069" i="4"/>
  <c r="H2068" i="4"/>
  <c r="H2067" i="4"/>
  <c r="H2066" i="4"/>
  <c r="H2065" i="4"/>
  <c r="H2064" i="4"/>
  <c r="H2063" i="4"/>
  <c r="H2062" i="4"/>
  <c r="H2061" i="4"/>
  <c r="H2060" i="4"/>
  <c r="H2059" i="4"/>
  <c r="H2058" i="4"/>
  <c r="H2057" i="4"/>
  <c r="H2056" i="4"/>
  <c r="H2055" i="4"/>
  <c r="H2054" i="4"/>
  <c r="H2053" i="4"/>
  <c r="H2052" i="4"/>
  <c r="H2051" i="4"/>
  <c r="H2050" i="4"/>
  <c r="H2049" i="4"/>
  <c r="H2048" i="4"/>
  <c r="H2047" i="4"/>
  <c r="H2046" i="4"/>
  <c r="H2045" i="4"/>
  <c r="H2044" i="4"/>
  <c r="H2043" i="4"/>
  <c r="H2042" i="4"/>
  <c r="H2041" i="4"/>
  <c r="H2040" i="4"/>
  <c r="H2039" i="4"/>
  <c r="H2038" i="4"/>
  <c r="H2037" i="4"/>
  <c r="H2036" i="4"/>
  <c r="H2035" i="4"/>
  <c r="H2034" i="4"/>
  <c r="H2033" i="4"/>
  <c r="H2032" i="4"/>
  <c r="H2031" i="4"/>
  <c r="H2030" i="4"/>
  <c r="H2029" i="4"/>
  <c r="H2028" i="4"/>
  <c r="H2027" i="4"/>
  <c r="H2026" i="4"/>
  <c r="H2025" i="4"/>
  <c r="H2024" i="4"/>
  <c r="G2023" i="4"/>
  <c r="F2023" i="4"/>
  <c r="E2023" i="4"/>
  <c r="H2021" i="4"/>
  <c r="H2020" i="4"/>
  <c r="H2019" i="4"/>
  <c r="H2017" i="4"/>
  <c r="H2016" i="4"/>
  <c r="G2015" i="4"/>
  <c r="F2015" i="4"/>
  <c r="E2015" i="4"/>
  <c r="H2011" i="4"/>
  <c r="H2010" i="4"/>
  <c r="G2009" i="4"/>
  <c r="G2008" i="4" s="1"/>
  <c r="F2009" i="4"/>
  <c r="E2009" i="4"/>
  <c r="E2008" i="4" s="1"/>
  <c r="H2005" i="4"/>
  <c r="G2004" i="4"/>
  <c r="G2003" i="4" s="1"/>
  <c r="F2004" i="4"/>
  <c r="E2004" i="4"/>
  <c r="E2003" i="4" s="1"/>
  <c r="H2001" i="4"/>
  <c r="H2000" i="4"/>
  <c r="G1999" i="4"/>
  <c r="G1998" i="4" s="1"/>
  <c r="F1999" i="4"/>
  <c r="F1998" i="4" s="1"/>
  <c r="F1997" i="4" s="1"/>
  <c r="E1999" i="4"/>
  <c r="E1998" i="4" s="1"/>
  <c r="E1997" i="4" s="1"/>
  <c r="H1995" i="4"/>
  <c r="H1994" i="4"/>
  <c r="H1993" i="4"/>
  <c r="H1992" i="4"/>
  <c r="H1991" i="4"/>
  <c r="H1990" i="4"/>
  <c r="H1989" i="4"/>
  <c r="H1988" i="4"/>
  <c r="H1987" i="4"/>
  <c r="H1986" i="4"/>
  <c r="H1985" i="4"/>
  <c r="H1984" i="4"/>
  <c r="H1983" i="4"/>
  <c r="H1982" i="4"/>
  <c r="H1981" i="4"/>
  <c r="H1980" i="4"/>
  <c r="H1979" i="4"/>
  <c r="H1978" i="4"/>
  <c r="H1977" i="4"/>
  <c r="H1976" i="4"/>
  <c r="H1975" i="4"/>
  <c r="H1974" i="4"/>
  <c r="H1973" i="4"/>
  <c r="H1972" i="4"/>
  <c r="G1971" i="4"/>
  <c r="F1971" i="4"/>
  <c r="F1970" i="4" s="1"/>
  <c r="E1971" i="4"/>
  <c r="E1970" i="4" s="1"/>
  <c r="E1916" i="4" s="1"/>
  <c r="H1950" i="4"/>
  <c r="H1949" i="4"/>
  <c r="H1948" i="4"/>
  <c r="H1947" i="4"/>
  <c r="H1946" i="4"/>
  <c r="H1945" i="4"/>
  <c r="H1943" i="4"/>
  <c r="H1941" i="4"/>
  <c r="H1940" i="4"/>
  <c r="H1939" i="4"/>
  <c r="H1938" i="4"/>
  <c r="H1937" i="4"/>
  <c r="H1936" i="4"/>
  <c r="H1932" i="4"/>
  <c r="H1930" i="4"/>
  <c r="H1929" i="4"/>
  <c r="H1927" i="4"/>
  <c r="H1924" i="4"/>
  <c r="H1921" i="4"/>
  <c r="H1918" i="4"/>
  <c r="G1916" i="4"/>
  <c r="F1916" i="4"/>
  <c r="H1915" i="4"/>
  <c r="G1914" i="4"/>
  <c r="F1914" i="4"/>
  <c r="E1914" i="4"/>
  <c r="H1912" i="4"/>
  <c r="G1911" i="4"/>
  <c r="F1911" i="4"/>
  <c r="E1911" i="4"/>
  <c r="H1909" i="4"/>
  <c r="H1908" i="4"/>
  <c r="H1907" i="4"/>
  <c r="H1906" i="4"/>
  <c r="H1905" i="4"/>
  <c r="H1904" i="4"/>
  <c r="H1903" i="4"/>
  <c r="H1902" i="4"/>
  <c r="H1901" i="4"/>
  <c r="H1900" i="4"/>
  <c r="H1899" i="4"/>
  <c r="H1898" i="4"/>
  <c r="H1897" i="4"/>
  <c r="H1896" i="4"/>
  <c r="H1895" i="4"/>
  <c r="H1894" i="4"/>
  <c r="H1893" i="4"/>
  <c r="H1892" i="4"/>
  <c r="H1891" i="4"/>
  <c r="H1890" i="4"/>
  <c r="H1889" i="4"/>
  <c r="G1888" i="4"/>
  <c r="F1888" i="4"/>
  <c r="E1888" i="4"/>
  <c r="H1886" i="4"/>
  <c r="H1885" i="4"/>
  <c r="H1884" i="4"/>
  <c r="H1883" i="4"/>
  <c r="H1882" i="4"/>
  <c r="H1881" i="4"/>
  <c r="G1880" i="4"/>
  <c r="F1880" i="4"/>
  <c r="E1880" i="4"/>
  <c r="H1876" i="4"/>
  <c r="H1875" i="4"/>
  <c r="G1874" i="4"/>
  <c r="G1873" i="4" s="1"/>
  <c r="F1874" i="4"/>
  <c r="E1874" i="4"/>
  <c r="E1873" i="4" s="1"/>
  <c r="F1873" i="4"/>
  <c r="H1871" i="4"/>
  <c r="G1870" i="4"/>
  <c r="F1870" i="4"/>
  <c r="E1870" i="4"/>
  <c r="H1868" i="4"/>
  <c r="G1867" i="4"/>
  <c r="F1867" i="4"/>
  <c r="E1867" i="4"/>
  <c r="H1865" i="4"/>
  <c r="H1864" i="4"/>
  <c r="H1863" i="4"/>
  <c r="H1862" i="4"/>
  <c r="H1861" i="4"/>
  <c r="H1860" i="4"/>
  <c r="H1859" i="4"/>
  <c r="H1858" i="4"/>
  <c r="H1857" i="4"/>
  <c r="H1855" i="4"/>
  <c r="H1853" i="4"/>
  <c r="H1852" i="4"/>
  <c r="H1851" i="4"/>
  <c r="H1850" i="4"/>
  <c r="H1849" i="4"/>
  <c r="H1848" i="4"/>
  <c r="H1847" i="4"/>
  <c r="H1846" i="4"/>
  <c r="H1845" i="4"/>
  <c r="G1844" i="4"/>
  <c r="F1844" i="4"/>
  <c r="E1844" i="4"/>
  <c r="H1842" i="4"/>
  <c r="H1841" i="4"/>
  <c r="H1840" i="4"/>
  <c r="H1839" i="4"/>
  <c r="H1838" i="4"/>
  <c r="H1837" i="4"/>
  <c r="G1836" i="4"/>
  <c r="F1836" i="4"/>
  <c r="E1836" i="4"/>
  <c r="H1832" i="4"/>
  <c r="H1831" i="4"/>
  <c r="H1830" i="4"/>
  <c r="H1829" i="4"/>
  <c r="H1828" i="4"/>
  <c r="H1827" i="4"/>
  <c r="H1826" i="4"/>
  <c r="H1825" i="4"/>
  <c r="G1824" i="4"/>
  <c r="F1824" i="4"/>
  <c r="E1824" i="4"/>
  <c r="H1822" i="4"/>
  <c r="G1821" i="4"/>
  <c r="F1821" i="4"/>
  <c r="F1820" i="4" s="1"/>
  <c r="E1821" i="4"/>
  <c r="E1820" i="4" s="1"/>
  <c r="H1816" i="4"/>
  <c r="H1815" i="4"/>
  <c r="G1814" i="4"/>
  <c r="F1814" i="4"/>
  <c r="E1814" i="4"/>
  <c r="H1812" i="4"/>
  <c r="H1811" i="4"/>
  <c r="G1810" i="4"/>
  <c r="F1810" i="4"/>
  <c r="F1809" i="4" s="1"/>
  <c r="E1810" i="4"/>
  <c r="E1809" i="4" s="1"/>
  <c r="H1807" i="4"/>
  <c r="H1806" i="4"/>
  <c r="H1805" i="4"/>
  <c r="H1804" i="4"/>
  <c r="G1803" i="4"/>
  <c r="F1803" i="4"/>
  <c r="E1803" i="4"/>
  <c r="H1801" i="4"/>
  <c r="H1800" i="4"/>
  <c r="G1799" i="4"/>
  <c r="F1799" i="4"/>
  <c r="E1799" i="4"/>
  <c r="H1797" i="4"/>
  <c r="G1796" i="4"/>
  <c r="F1796" i="4"/>
  <c r="E1796" i="4"/>
  <c r="H1794" i="4"/>
  <c r="G1793" i="4"/>
  <c r="F1793" i="4"/>
  <c r="E1793" i="4"/>
  <c r="H1789" i="4"/>
  <c r="G1788" i="4"/>
  <c r="F1788" i="4"/>
  <c r="E1788" i="4"/>
  <c r="H1786" i="4"/>
  <c r="H1785" i="4"/>
  <c r="H1784" i="4"/>
  <c r="H1783" i="4"/>
  <c r="G1782" i="4"/>
  <c r="F1782" i="4"/>
  <c r="E1782" i="4"/>
  <c r="H1778" i="4"/>
  <c r="G1777" i="4"/>
  <c r="F1777" i="4"/>
  <c r="F1776" i="4" s="1"/>
  <c r="F1775" i="4" s="1"/>
  <c r="F1774" i="4" s="1"/>
  <c r="E1777" i="4"/>
  <c r="E1776" i="4" s="1"/>
  <c r="E1775" i="4" s="1"/>
  <c r="E1774" i="4" s="1"/>
  <c r="H1773" i="4"/>
  <c r="H1772" i="4"/>
  <c r="H1771" i="4"/>
  <c r="H1769" i="4"/>
  <c r="G1768" i="4"/>
  <c r="H1768" i="4" s="1"/>
  <c r="F1768" i="4"/>
  <c r="E1768" i="4"/>
  <c r="H1766" i="4"/>
  <c r="H1765" i="4"/>
  <c r="H1764" i="4"/>
  <c r="G1763" i="4"/>
  <c r="G1762" i="4" s="1"/>
  <c r="F1763" i="4"/>
  <c r="F1762" i="4" s="1"/>
  <c r="F1761" i="4" s="1"/>
  <c r="F1760" i="4" s="1"/>
  <c r="E1763" i="4"/>
  <c r="E1762" i="4" s="1"/>
  <c r="H1759" i="4"/>
  <c r="G1758" i="4"/>
  <c r="F1758" i="4"/>
  <c r="F1757" i="4" s="1"/>
  <c r="F1756" i="4" s="1"/>
  <c r="E1758" i="4"/>
  <c r="E1757" i="4" s="1"/>
  <c r="E1756" i="4" s="1"/>
  <c r="H1755" i="4"/>
  <c r="H1754" i="4"/>
  <c r="H1753" i="4"/>
  <c r="H1752" i="4"/>
  <c r="H1751" i="4"/>
  <c r="H1750" i="4"/>
  <c r="G1749" i="4"/>
  <c r="F1749" i="4"/>
  <c r="F1748" i="4" s="1"/>
  <c r="E1749" i="4"/>
  <c r="E1748" i="4" s="1"/>
  <c r="H1746" i="4"/>
  <c r="G1745" i="4"/>
  <c r="F1745" i="4"/>
  <c r="E1745" i="4"/>
  <c r="H1743" i="4"/>
  <c r="G1742" i="4"/>
  <c r="G1741" i="4" s="1"/>
  <c r="F1742" i="4"/>
  <c r="F1741" i="4" s="1"/>
  <c r="E1742" i="4"/>
  <c r="E1741" i="4" s="1"/>
  <c r="H1738" i="4"/>
  <c r="G1737" i="4"/>
  <c r="G1736" i="4" s="1"/>
  <c r="F1737" i="4"/>
  <c r="E1737" i="4"/>
  <c r="E1736" i="4" s="1"/>
  <c r="E1731" i="4" s="1"/>
  <c r="H1735" i="4"/>
  <c r="H1734" i="4"/>
  <c r="H1733" i="4"/>
  <c r="H1732" i="4"/>
  <c r="H1730" i="4"/>
  <c r="G1729" i="4"/>
  <c r="F1729" i="4"/>
  <c r="F1728" i="4" s="1"/>
  <c r="E1729" i="4"/>
  <c r="E1728" i="4" s="1"/>
  <c r="H1726" i="4"/>
  <c r="G1725" i="4"/>
  <c r="G1724" i="4" s="1"/>
  <c r="F1725" i="4"/>
  <c r="F1724" i="4" s="1"/>
  <c r="E1725" i="4"/>
  <c r="E1724" i="4" s="1"/>
  <c r="H1722" i="4"/>
  <c r="G1721" i="4"/>
  <c r="F1721" i="4"/>
  <c r="F1720" i="4" s="1"/>
  <c r="E1721" i="4"/>
  <c r="E1720" i="4" s="1"/>
  <c r="H1718" i="4"/>
  <c r="G1717" i="4"/>
  <c r="F1717" i="4"/>
  <c r="F1712" i="4" s="1"/>
  <c r="E1717" i="4"/>
  <c r="E1712" i="4" s="1"/>
  <c r="H1716" i="4"/>
  <c r="H1715" i="4"/>
  <c r="H1714" i="4"/>
  <c r="H1713" i="4"/>
  <c r="H1710" i="4"/>
  <c r="H1709" i="4"/>
  <c r="H1708" i="4"/>
  <c r="H1707" i="4"/>
  <c r="H1706" i="4"/>
  <c r="H1705" i="4"/>
  <c r="H1704" i="4"/>
  <c r="G1702" i="4"/>
  <c r="F1702" i="4"/>
  <c r="F1701" i="4" s="1"/>
  <c r="E1702" i="4"/>
  <c r="E1701" i="4" s="1"/>
  <c r="H1699" i="4"/>
  <c r="H1698" i="4"/>
  <c r="G1697" i="4"/>
  <c r="F1697" i="4"/>
  <c r="F1692" i="4" s="1"/>
  <c r="E1697" i="4"/>
  <c r="E1692" i="4" s="1"/>
  <c r="H1696" i="4"/>
  <c r="H1695" i="4"/>
  <c r="H1694" i="4"/>
  <c r="H1693" i="4"/>
  <c r="H1689" i="4"/>
  <c r="H1688" i="4"/>
  <c r="H1687" i="4"/>
  <c r="H1686" i="4"/>
  <c r="H1685" i="4"/>
  <c r="H1684" i="4"/>
  <c r="H1683" i="4"/>
  <c r="H1682" i="4"/>
  <c r="H1681" i="4"/>
  <c r="H1680" i="4"/>
  <c r="H1679" i="4"/>
  <c r="H1678" i="4"/>
  <c r="H1677" i="4"/>
  <c r="H1676" i="4"/>
  <c r="H1675" i="4"/>
  <c r="H1674" i="4"/>
  <c r="H1673" i="4"/>
  <c r="H1672" i="4"/>
  <c r="H1671" i="4"/>
  <c r="H1670" i="4"/>
  <c r="H1669" i="4"/>
  <c r="H1668" i="4"/>
  <c r="H1667" i="4"/>
  <c r="H1666" i="4"/>
  <c r="H1665" i="4"/>
  <c r="H1664" i="4"/>
  <c r="H1663" i="4"/>
  <c r="H1662" i="4"/>
  <c r="H1661" i="4"/>
  <c r="H1660" i="4"/>
  <c r="H1659" i="4"/>
  <c r="H1658" i="4"/>
  <c r="G1657" i="4"/>
  <c r="F1657" i="4"/>
  <c r="F1656" i="4" s="1"/>
  <c r="E1657" i="4"/>
  <c r="E1656" i="4" s="1"/>
  <c r="H1654" i="4"/>
  <c r="H1653" i="4"/>
  <c r="H1652" i="4"/>
  <c r="H1651" i="4"/>
  <c r="H1650" i="4"/>
  <c r="H1649" i="4"/>
  <c r="H1647" i="4"/>
  <c r="H1646" i="4"/>
  <c r="H1645" i="4"/>
  <c r="H1644" i="4"/>
  <c r="G1643" i="4"/>
  <c r="F1643" i="4"/>
  <c r="E1643" i="4"/>
  <c r="H1641" i="4"/>
  <c r="H1640" i="4"/>
  <c r="H1639" i="4"/>
  <c r="G1638" i="4"/>
  <c r="F1638" i="4"/>
  <c r="E1638" i="4"/>
  <c r="H1636" i="4"/>
  <c r="H1635" i="4"/>
  <c r="H1634" i="4"/>
  <c r="H1633" i="4"/>
  <c r="H1632" i="4"/>
  <c r="H1631" i="4"/>
  <c r="G1630" i="4"/>
  <c r="F1630" i="4"/>
  <c r="E1630" i="4"/>
  <c r="H1628" i="4"/>
  <c r="H1627" i="4"/>
  <c r="H1626" i="4"/>
  <c r="H1625" i="4"/>
  <c r="H1624" i="4"/>
  <c r="H1623" i="4"/>
  <c r="G1622" i="4"/>
  <c r="F1622" i="4"/>
  <c r="E1622" i="4"/>
  <c r="H1620" i="4"/>
  <c r="H1619" i="4"/>
  <c r="H1618" i="4"/>
  <c r="H1617" i="4"/>
  <c r="H1616" i="4"/>
  <c r="H1615" i="4"/>
  <c r="G1614" i="4"/>
  <c r="F1614" i="4"/>
  <c r="E1614" i="4"/>
  <c r="G1608" i="4"/>
  <c r="G1607" i="4" s="1"/>
  <c r="F1608" i="4"/>
  <c r="F1607" i="4" s="1"/>
  <c r="E1608" i="4"/>
  <c r="E1607" i="4" s="1"/>
  <c r="H1605" i="4"/>
  <c r="H1604" i="4"/>
  <c r="H1603" i="4"/>
  <c r="H1602" i="4"/>
  <c r="H1601" i="4"/>
  <c r="H1600" i="4"/>
  <c r="H1599" i="4"/>
  <c r="H1598" i="4"/>
  <c r="H1597" i="4"/>
  <c r="H1596" i="4"/>
  <c r="H1595" i="4"/>
  <c r="G1594" i="4"/>
  <c r="F1594" i="4"/>
  <c r="E1594" i="4"/>
  <c r="H1592" i="4"/>
  <c r="H1591" i="4"/>
  <c r="H1590" i="4"/>
  <c r="H1589" i="4"/>
  <c r="H1588" i="4"/>
  <c r="H1587" i="4"/>
  <c r="H1586" i="4"/>
  <c r="H1585" i="4"/>
  <c r="H1584" i="4"/>
  <c r="H1583" i="4"/>
  <c r="H1582" i="4"/>
  <c r="H1581" i="4"/>
  <c r="H1580" i="4"/>
  <c r="H1579" i="4"/>
  <c r="H1578" i="4"/>
  <c r="H1577" i="4"/>
  <c r="H1576" i="4"/>
  <c r="H1575" i="4"/>
  <c r="H1574" i="4"/>
  <c r="H1573" i="4"/>
  <c r="H1572" i="4"/>
  <c r="H1571" i="4"/>
  <c r="H1570" i="4"/>
  <c r="H1569" i="4"/>
  <c r="H1568" i="4"/>
  <c r="H1567" i="4"/>
  <c r="H1566" i="4"/>
  <c r="H1565" i="4"/>
  <c r="H1564" i="4"/>
  <c r="H1563" i="4"/>
  <c r="H1562" i="4"/>
  <c r="H1561" i="4"/>
  <c r="H1560" i="4"/>
  <c r="H1559" i="4"/>
  <c r="H1558" i="4"/>
  <c r="G1557" i="4"/>
  <c r="F1557" i="4"/>
  <c r="E1557" i="4"/>
  <c r="H1555" i="4"/>
  <c r="H1554" i="4"/>
  <c r="H1553" i="4"/>
  <c r="H1552" i="4"/>
  <c r="H1551" i="4"/>
  <c r="H1550" i="4"/>
  <c r="H1549" i="4"/>
  <c r="H1548" i="4"/>
  <c r="H1547" i="4"/>
  <c r="H1546" i="4"/>
  <c r="H1545" i="4"/>
  <c r="H1544" i="4"/>
  <c r="H1543" i="4"/>
  <c r="H1542" i="4"/>
  <c r="H1541" i="4"/>
  <c r="H1540" i="4"/>
  <c r="H1539" i="4"/>
  <c r="G1538" i="4"/>
  <c r="F1538" i="4"/>
  <c r="E1538" i="4"/>
  <c r="H1536" i="4"/>
  <c r="H1535" i="4"/>
  <c r="H1534" i="4"/>
  <c r="H1533" i="4"/>
  <c r="H1532" i="4"/>
  <c r="H1531" i="4"/>
  <c r="H1530" i="4"/>
  <c r="H1529" i="4"/>
  <c r="G1528" i="4"/>
  <c r="F1528" i="4"/>
  <c r="E1528" i="4"/>
  <c r="H1524" i="4"/>
  <c r="H1523" i="4"/>
  <c r="H1522" i="4"/>
  <c r="H1521" i="4"/>
  <c r="H1520" i="4"/>
  <c r="H1519" i="4"/>
  <c r="H1518" i="4"/>
  <c r="H1517" i="4"/>
  <c r="G1516" i="4"/>
  <c r="F1516" i="4"/>
  <c r="F1515" i="4" s="1"/>
  <c r="E1516" i="4"/>
  <c r="E1515" i="4" s="1"/>
  <c r="H1513" i="4"/>
  <c r="H1512" i="4"/>
  <c r="H1511" i="4"/>
  <c r="H1510" i="4"/>
  <c r="H1509" i="4"/>
  <c r="H1508" i="4"/>
  <c r="H1507" i="4"/>
  <c r="H1506" i="4"/>
  <c r="H1505" i="4"/>
  <c r="H1504" i="4"/>
  <c r="H1503" i="4"/>
  <c r="H1502" i="4"/>
  <c r="H1501" i="4"/>
  <c r="H1500" i="4"/>
  <c r="H1499" i="4"/>
  <c r="H1498" i="4"/>
  <c r="H1497" i="4"/>
  <c r="H1496" i="4"/>
  <c r="H1495" i="4"/>
  <c r="H1494" i="4"/>
  <c r="H1493" i="4"/>
  <c r="H1492" i="4"/>
  <c r="H1491" i="4"/>
  <c r="H1490" i="4"/>
  <c r="H1489" i="4"/>
  <c r="H1488" i="4"/>
  <c r="H1487" i="4"/>
  <c r="H1486" i="4"/>
  <c r="H1485" i="4"/>
  <c r="H1484" i="4"/>
  <c r="H1483" i="4"/>
  <c r="H1482" i="4"/>
  <c r="H1481" i="4"/>
  <c r="H1480" i="4"/>
  <c r="H1479" i="4"/>
  <c r="H1478" i="4"/>
  <c r="H1477" i="4"/>
  <c r="H1476" i="4"/>
  <c r="H1475" i="4"/>
  <c r="H1474" i="4"/>
  <c r="H1473" i="4"/>
  <c r="H1472" i="4"/>
  <c r="H1471" i="4"/>
  <c r="H1470" i="4"/>
  <c r="H1469" i="4"/>
  <c r="G1468" i="4"/>
  <c r="H1468" i="4" s="1"/>
  <c r="F1468" i="4"/>
  <c r="E1468" i="4"/>
  <c r="H1466" i="4"/>
  <c r="G1465" i="4"/>
  <c r="F1465" i="4"/>
  <c r="E1465" i="4"/>
  <c r="H1463" i="4"/>
  <c r="H1462" i="4"/>
  <c r="H1461" i="4"/>
  <c r="H1460" i="4"/>
  <c r="H1459" i="4"/>
  <c r="H1458" i="4"/>
  <c r="H1457" i="4"/>
  <c r="H1456" i="4"/>
  <c r="H1455" i="4"/>
  <c r="H1454" i="4"/>
  <c r="H1453" i="4"/>
  <c r="H1452" i="4"/>
  <c r="G1451" i="4"/>
  <c r="F1451" i="4"/>
  <c r="E1451" i="4"/>
  <c r="H1449" i="4"/>
  <c r="H1448" i="4"/>
  <c r="H1447" i="4"/>
  <c r="H1446" i="4"/>
  <c r="H1445" i="4"/>
  <c r="H1444" i="4"/>
  <c r="H1443" i="4"/>
  <c r="H1442" i="4"/>
  <c r="G1441" i="4"/>
  <c r="F1441" i="4"/>
  <c r="E1441" i="4"/>
  <c r="G1435" i="4"/>
  <c r="G1434" i="4" s="1"/>
  <c r="F1435" i="4"/>
  <c r="F1434" i="4" s="1"/>
  <c r="H1432" i="4"/>
  <c r="H1431" i="4"/>
  <c r="H1430" i="4"/>
  <c r="H1429" i="4"/>
  <c r="H1428" i="4"/>
  <c r="H1427" i="4"/>
  <c r="H1426" i="4"/>
  <c r="H1425" i="4"/>
  <c r="H1424" i="4"/>
  <c r="H1423" i="4"/>
  <c r="H1422" i="4"/>
  <c r="H1421" i="4"/>
  <c r="H1420" i="4"/>
  <c r="H1419" i="4"/>
  <c r="H1418" i="4"/>
  <c r="H1417" i="4"/>
  <c r="G1416" i="4"/>
  <c r="F1416" i="4"/>
  <c r="E1416" i="4"/>
  <c r="H1414" i="4"/>
  <c r="H1413" i="4"/>
  <c r="G1412" i="4"/>
  <c r="F1412" i="4"/>
  <c r="E1412" i="4"/>
  <c r="H1411" i="4"/>
  <c r="H1410" i="4"/>
  <c r="H1409" i="4"/>
  <c r="H1407" i="4"/>
  <c r="H1406" i="4"/>
  <c r="H1405" i="4"/>
  <c r="H1404" i="4"/>
  <c r="H1403" i="4"/>
  <c r="H1402" i="4"/>
  <c r="H1401" i="4"/>
  <c r="H1400" i="4"/>
  <c r="H1399" i="4"/>
  <c r="H1398" i="4"/>
  <c r="H1397" i="4"/>
  <c r="H1396" i="4"/>
  <c r="H1395" i="4"/>
  <c r="H1394" i="4"/>
  <c r="H1393" i="4"/>
  <c r="H1392" i="4"/>
  <c r="H1391" i="4"/>
  <c r="H1390" i="4"/>
  <c r="G1389" i="4"/>
  <c r="F1389" i="4"/>
  <c r="E1389" i="4"/>
  <c r="H1387" i="4"/>
  <c r="H1386" i="4"/>
  <c r="H1385" i="4"/>
  <c r="H1384" i="4"/>
  <c r="H1383" i="4"/>
  <c r="H1382" i="4"/>
  <c r="H1381" i="4"/>
  <c r="H1380" i="4"/>
  <c r="G1379" i="4"/>
  <c r="F1379" i="4"/>
  <c r="E1379" i="4"/>
  <c r="H1375" i="4"/>
  <c r="G1374" i="4"/>
  <c r="F1374" i="4"/>
  <c r="E1374" i="4"/>
  <c r="H1372" i="4"/>
  <c r="H1371" i="4"/>
  <c r="H1370" i="4"/>
  <c r="H1369" i="4"/>
  <c r="G1368" i="4"/>
  <c r="F1368" i="4"/>
  <c r="E1368" i="4"/>
  <c r="H1366" i="4"/>
  <c r="H1365" i="4"/>
  <c r="H1364" i="4"/>
  <c r="H1363" i="4"/>
  <c r="H1362" i="4"/>
  <c r="H1361" i="4"/>
  <c r="H1360" i="4"/>
  <c r="G1359" i="4"/>
  <c r="F1359" i="4"/>
  <c r="E1359" i="4"/>
  <c r="H1355" i="4"/>
  <c r="H1354" i="4"/>
  <c r="H1353" i="4"/>
  <c r="H1352" i="4"/>
  <c r="H1351" i="4"/>
  <c r="H1350" i="4"/>
  <c r="H1349" i="4"/>
  <c r="H1348" i="4"/>
  <c r="H1347" i="4"/>
  <c r="H1346" i="4"/>
  <c r="H1345" i="4"/>
  <c r="H1344" i="4"/>
  <c r="H1343" i="4"/>
  <c r="H1342" i="4"/>
  <c r="H1341" i="4"/>
  <c r="H1340" i="4"/>
  <c r="H1339" i="4"/>
  <c r="H1338" i="4"/>
  <c r="H1337" i="4"/>
  <c r="H1336" i="4"/>
  <c r="H1335" i="4"/>
  <c r="H1334" i="4"/>
  <c r="H1333" i="4"/>
  <c r="G1332" i="4"/>
  <c r="G1331" i="4" s="1"/>
  <c r="F1332" i="4"/>
  <c r="F1331" i="4" s="1"/>
  <c r="F1327" i="4" s="1"/>
  <c r="E1332" i="4"/>
  <c r="E1331" i="4" s="1"/>
  <c r="E1327" i="4" s="1"/>
  <c r="H1330" i="4"/>
  <c r="H1329" i="4"/>
  <c r="H1328" i="4"/>
  <c r="H1326" i="4"/>
  <c r="H1325" i="4"/>
  <c r="H1324" i="4"/>
  <c r="H1323" i="4"/>
  <c r="H1322" i="4"/>
  <c r="G1321" i="4"/>
  <c r="F1321" i="4"/>
  <c r="E1321" i="4"/>
  <c r="H1319" i="4"/>
  <c r="H1318" i="4"/>
  <c r="H1317" i="4"/>
  <c r="H1316" i="4"/>
  <c r="H1315" i="4"/>
  <c r="H1314" i="4"/>
  <c r="H1313" i="4"/>
  <c r="H1312" i="4"/>
  <c r="H1311" i="4"/>
  <c r="H1310" i="4"/>
  <c r="H1309" i="4"/>
  <c r="H1308" i="4"/>
  <c r="H1307" i="4"/>
  <c r="H1306" i="4"/>
  <c r="H1305" i="4"/>
  <c r="G1304" i="4"/>
  <c r="F1304" i="4"/>
  <c r="E1304" i="4"/>
  <c r="H1302" i="4"/>
  <c r="H1301" i="4"/>
  <c r="H1300" i="4"/>
  <c r="H1299" i="4"/>
  <c r="H1298" i="4"/>
  <c r="H1297" i="4"/>
  <c r="H1296" i="4"/>
  <c r="H1295" i="4"/>
  <c r="G1294" i="4"/>
  <c r="F1294" i="4"/>
  <c r="E1294" i="4"/>
  <c r="H1290" i="4"/>
  <c r="G1289" i="4"/>
  <c r="F1289" i="4"/>
  <c r="F1288" i="4" s="1"/>
  <c r="E1289" i="4"/>
  <c r="E1288" i="4" s="1"/>
  <c r="H1286" i="4"/>
  <c r="G1285" i="4"/>
  <c r="F1285" i="4"/>
  <c r="F1284" i="4" s="1"/>
  <c r="E1285" i="4"/>
  <c r="E1284" i="4" s="1"/>
  <c r="H1281" i="4"/>
  <c r="G1280" i="4"/>
  <c r="F1280" i="4"/>
  <c r="F1279" i="4" s="1"/>
  <c r="E1280" i="4"/>
  <c r="E1279" i="4" s="1"/>
  <c r="H1277" i="4"/>
  <c r="G1276" i="4"/>
  <c r="F1276" i="4"/>
  <c r="F1275" i="4" s="1"/>
  <c r="F1274" i="4" s="1"/>
  <c r="E1276" i="4"/>
  <c r="E1275" i="4" s="1"/>
  <c r="E1274" i="4" s="1"/>
  <c r="H1271" i="4"/>
  <c r="G1270" i="4"/>
  <c r="G1269" i="4" s="1"/>
  <c r="F1270" i="4"/>
  <c r="H1270" i="4" s="1"/>
  <c r="E1270" i="4"/>
  <c r="E1269" i="4" s="1"/>
  <c r="E1268" i="4" s="1"/>
  <c r="H1267" i="4"/>
  <c r="G1266" i="4"/>
  <c r="F1266" i="4"/>
  <c r="F1265" i="4" s="1"/>
  <c r="F1264" i="4" s="1"/>
  <c r="E1266" i="4"/>
  <c r="E1265" i="4" s="1"/>
  <c r="E1264" i="4" s="1"/>
  <c r="H1262" i="4"/>
  <c r="H1261" i="4"/>
  <c r="H1260" i="4"/>
  <c r="H1259" i="4"/>
  <c r="H1258" i="4"/>
  <c r="H1257" i="4"/>
  <c r="H1256" i="4"/>
  <c r="G1255" i="4"/>
  <c r="F1255" i="4"/>
  <c r="F1254" i="4" s="1"/>
  <c r="E1255" i="4"/>
  <c r="E1254" i="4" s="1"/>
  <c r="H1252" i="4"/>
  <c r="H1251" i="4"/>
  <c r="H1250" i="4"/>
  <c r="H1249" i="4"/>
  <c r="H1248" i="4"/>
  <c r="G1247" i="4"/>
  <c r="F1247" i="4"/>
  <c r="E1247" i="4"/>
  <c r="H1245" i="4"/>
  <c r="H1244" i="4"/>
  <c r="G1243" i="4"/>
  <c r="G1242" i="4" s="1"/>
  <c r="F1243" i="4"/>
  <c r="E1243" i="4"/>
  <c r="E1242" i="4" s="1"/>
  <c r="H1239" i="4"/>
  <c r="H1238" i="4"/>
  <c r="H1237" i="4"/>
  <c r="H1236" i="4"/>
  <c r="G1235" i="4"/>
  <c r="F1235" i="4"/>
  <c r="F1234" i="4" s="1"/>
  <c r="F1233" i="4" s="1"/>
  <c r="E1235" i="4"/>
  <c r="E1234" i="4" s="1"/>
  <c r="E1233" i="4" s="1"/>
  <c r="H1232" i="4"/>
  <c r="G1231" i="4"/>
  <c r="F1231" i="4"/>
  <c r="F1230" i="4" s="1"/>
  <c r="E1231" i="4"/>
  <c r="E1230" i="4" s="1"/>
  <c r="H1228" i="4"/>
  <c r="G1227" i="4"/>
  <c r="F1227" i="4"/>
  <c r="F1226" i="4" s="1"/>
  <c r="E1227" i="4"/>
  <c r="E1226" i="4" s="1"/>
  <c r="H1224" i="4"/>
  <c r="G1223" i="4"/>
  <c r="G1222" i="4" s="1"/>
  <c r="F1223" i="4"/>
  <c r="F1222" i="4" s="1"/>
  <c r="F1221" i="4" s="1"/>
  <c r="E1223" i="4"/>
  <c r="E1222" i="4" s="1"/>
  <c r="E1221" i="4" s="1"/>
  <c r="H1220" i="4"/>
  <c r="G1219" i="4"/>
  <c r="G1218" i="4" s="1"/>
  <c r="F1219" i="4"/>
  <c r="F1218" i="4" s="1"/>
  <c r="E1219" i="4"/>
  <c r="E1218" i="4" s="1"/>
  <c r="H1216" i="4"/>
  <c r="H1215" i="4"/>
  <c r="H1214" i="4"/>
  <c r="H1212" i="4"/>
  <c r="G1211" i="4"/>
  <c r="G1210" i="4" s="1"/>
  <c r="F1211" i="4"/>
  <c r="F1210" i="4" s="1"/>
  <c r="F1206" i="4" s="1"/>
  <c r="E1211" i="4"/>
  <c r="E1210" i="4" s="1"/>
  <c r="E1206" i="4" s="1"/>
  <c r="H1209" i="4"/>
  <c r="H1208" i="4"/>
  <c r="H1207" i="4"/>
  <c r="H1204" i="4"/>
  <c r="H1202" i="4"/>
  <c r="G1201" i="4"/>
  <c r="F1201" i="4"/>
  <c r="F1200" i="4" s="1"/>
  <c r="F1199" i="4" s="1"/>
  <c r="F1198" i="4" s="1"/>
  <c r="F1197" i="4" s="1"/>
  <c r="E1201" i="4"/>
  <c r="E1200" i="4" s="1"/>
  <c r="E1199" i="4" s="1"/>
  <c r="E1198" i="4" s="1"/>
  <c r="E1197" i="4" s="1"/>
  <c r="H1195" i="4"/>
  <c r="H1194" i="4"/>
  <c r="H1193" i="4"/>
  <c r="H1192" i="4"/>
  <c r="H1191" i="4"/>
  <c r="H1190" i="4"/>
  <c r="H1189" i="4"/>
  <c r="H1188" i="4"/>
  <c r="H1187" i="4"/>
  <c r="G1186" i="4"/>
  <c r="G1182" i="4" s="1"/>
  <c r="H1182" i="4" s="1"/>
  <c r="H1185" i="4"/>
  <c r="H1184" i="4"/>
  <c r="F1182" i="4"/>
  <c r="E1182" i="4"/>
  <c r="H1180" i="4"/>
  <c r="H1179" i="4"/>
  <c r="H1178" i="4"/>
  <c r="H1177" i="4"/>
  <c r="H1175" i="4"/>
  <c r="H1174" i="4"/>
  <c r="H1173" i="4"/>
  <c r="H1172" i="4"/>
  <c r="H1171" i="4"/>
  <c r="H1170" i="4"/>
  <c r="H1169" i="4"/>
  <c r="H1168" i="4"/>
  <c r="H1167" i="4"/>
  <c r="H1166" i="4"/>
  <c r="G1165" i="4"/>
  <c r="H1165" i="4" s="1"/>
  <c r="H1164" i="4"/>
  <c r="H1163" i="4"/>
  <c r="H1162" i="4"/>
  <c r="F1161" i="4"/>
  <c r="F1160" i="4" s="1"/>
  <c r="E1161" i="4"/>
  <c r="E1160" i="4" s="1"/>
  <c r="H1158" i="4"/>
  <c r="G1157" i="4"/>
  <c r="H1157" i="4" s="1"/>
  <c r="G1156" i="4"/>
  <c r="H1156" i="4" s="1"/>
  <c r="G1155" i="4"/>
  <c r="H1155" i="4" s="1"/>
  <c r="H1154" i="4"/>
  <c r="H1153" i="4"/>
  <c r="H1152" i="4"/>
  <c r="H1151" i="4"/>
  <c r="H1150" i="4"/>
  <c r="H1149" i="4"/>
  <c r="H1148" i="4"/>
  <c r="G1147" i="4"/>
  <c r="H1147" i="4" s="1"/>
  <c r="G1146" i="4"/>
  <c r="H1146" i="4" s="1"/>
  <c r="G1145" i="4"/>
  <c r="H1145" i="4" s="1"/>
  <c r="H1144" i="4"/>
  <c r="H1143" i="4"/>
  <c r="H1142" i="4"/>
  <c r="H1139" i="4"/>
  <c r="H1138" i="4"/>
  <c r="H1137" i="4"/>
  <c r="H1136" i="4"/>
  <c r="G1135" i="4"/>
  <c r="H1135" i="4" s="1"/>
  <c r="H1134" i="4"/>
  <c r="G1133" i="4"/>
  <c r="H1133" i="4" s="1"/>
  <c r="G1132" i="4"/>
  <c r="H1132" i="4" s="1"/>
  <c r="H1131" i="4"/>
  <c r="H1130" i="4"/>
  <c r="H1129" i="4"/>
  <c r="H1128" i="4"/>
  <c r="H1127" i="4"/>
  <c r="H1126" i="4"/>
  <c r="H1125" i="4"/>
  <c r="H1124" i="4"/>
  <c r="H1123" i="4"/>
  <c r="G1122" i="4"/>
  <c r="H1122" i="4" s="1"/>
  <c r="G1121" i="4"/>
  <c r="H1121" i="4" s="1"/>
  <c r="H1120" i="4"/>
  <c r="H1119" i="4"/>
  <c r="H1118" i="4"/>
  <c r="H1117" i="4"/>
  <c r="H1116" i="4"/>
  <c r="G1115" i="4"/>
  <c r="H1115" i="4" s="1"/>
  <c r="G1114" i="4"/>
  <c r="H1114" i="4" s="1"/>
  <c r="H1113" i="4"/>
  <c r="G1112" i="4"/>
  <c r="H1112" i="4" s="1"/>
  <c r="G1111" i="4"/>
  <c r="H1111" i="4" s="1"/>
  <c r="H1110" i="4"/>
  <c r="G1109" i="4"/>
  <c r="H1109" i="4" s="1"/>
  <c r="G1108" i="4"/>
  <c r="H1108" i="4" s="1"/>
  <c r="G1107" i="4"/>
  <c r="H1107" i="4" s="1"/>
  <c r="G1106" i="4"/>
  <c r="H1105" i="4"/>
  <c r="H1104" i="4"/>
  <c r="H1103" i="4"/>
  <c r="H1102" i="4"/>
  <c r="H1101" i="4"/>
  <c r="H1100" i="4"/>
  <c r="H1099" i="4"/>
  <c r="H1098" i="4"/>
  <c r="H1097" i="4"/>
  <c r="H1096" i="4"/>
  <c r="H1095" i="4"/>
  <c r="F1094" i="4"/>
  <c r="E1094" i="4"/>
  <c r="H1092" i="4"/>
  <c r="F1091" i="4"/>
  <c r="E1091" i="4"/>
  <c r="H1089" i="4"/>
  <c r="H1088" i="4"/>
  <c r="H1087" i="4"/>
  <c r="G1086" i="4"/>
  <c r="F1086" i="4"/>
  <c r="E1086" i="4"/>
  <c r="H1084" i="4"/>
  <c r="G1083" i="4"/>
  <c r="H1083" i="4" s="1"/>
  <c r="H1082" i="4"/>
  <c r="H1081" i="4"/>
  <c r="G1080" i="4"/>
  <c r="H1080" i="4" s="1"/>
  <c r="G1079" i="4"/>
  <c r="H1079" i="4" s="1"/>
  <c r="G1078" i="4"/>
  <c r="H1078" i="4" s="1"/>
  <c r="H1077" i="4"/>
  <c r="G1076" i="4"/>
  <c r="H1076" i="4" s="1"/>
  <c r="G1075" i="4"/>
  <c r="H1075" i="4" s="1"/>
  <c r="H1073" i="4"/>
  <c r="G1071" i="4"/>
  <c r="F1070" i="4"/>
  <c r="E1070" i="4"/>
  <c r="H1067" i="4"/>
  <c r="G1062" i="4"/>
  <c r="F1062" i="4"/>
  <c r="E1062" i="4"/>
  <c r="E1061" i="4" s="1"/>
  <c r="H1058" i="4"/>
  <c r="G1057" i="4"/>
  <c r="F1057" i="4"/>
  <c r="E1057" i="4"/>
  <c r="H1055" i="4"/>
  <c r="H1054" i="4"/>
  <c r="H1053" i="4"/>
  <c r="H1052" i="4"/>
  <c r="H1051" i="4"/>
  <c r="H1050" i="4"/>
  <c r="G1049" i="4"/>
  <c r="F1049" i="4"/>
  <c r="E1049" i="4"/>
  <c r="H1047" i="4"/>
  <c r="H1046" i="4"/>
  <c r="H1045" i="4"/>
  <c r="H1044" i="4"/>
  <c r="G1043" i="4"/>
  <c r="F1043" i="4"/>
  <c r="E1043" i="4"/>
  <c r="H1035" i="4"/>
  <c r="H1034" i="4"/>
  <c r="H1033" i="4"/>
  <c r="H1032" i="4"/>
  <c r="G1031" i="4"/>
  <c r="G1027" i="4" s="1"/>
  <c r="G1026" i="4" s="1"/>
  <c r="F1031" i="4"/>
  <c r="F1027" i="4" s="1"/>
  <c r="F1026" i="4" s="1"/>
  <c r="F1025" i="4" s="1"/>
  <c r="H1024" i="4"/>
  <c r="H1023" i="4"/>
  <c r="H1022" i="4"/>
  <c r="H1021" i="4"/>
  <c r="G1020" i="4"/>
  <c r="F1020" i="4"/>
  <c r="E1020" i="4"/>
  <c r="H1018" i="4"/>
  <c r="H1017" i="4"/>
  <c r="H1016" i="4"/>
  <c r="H1015" i="4"/>
  <c r="H1014" i="4"/>
  <c r="G1013" i="4"/>
  <c r="F1013" i="4"/>
  <c r="F1012" i="4" s="1"/>
  <c r="E1013" i="4"/>
  <c r="E1012" i="4" s="1"/>
  <c r="H1010" i="4"/>
  <c r="H1009" i="4"/>
  <c r="H1008" i="4"/>
  <c r="H1007" i="4"/>
  <c r="H1006" i="4"/>
  <c r="H1005" i="4"/>
  <c r="H1004" i="4"/>
  <c r="H1003" i="4"/>
  <c r="H1002" i="4"/>
  <c r="H1001" i="4"/>
  <c r="H1000" i="4"/>
  <c r="H999" i="4"/>
  <c r="H998" i="4"/>
  <c r="H997" i="4"/>
  <c r="H996" i="4"/>
  <c r="H995" i="4"/>
  <c r="H994" i="4"/>
  <c r="H993" i="4"/>
  <c r="H992" i="4"/>
  <c r="H991" i="4"/>
  <c r="H990" i="4"/>
  <c r="H989" i="4"/>
  <c r="H988" i="4"/>
  <c r="H987" i="4"/>
  <c r="H986" i="4"/>
  <c r="H985" i="4"/>
  <c r="H984" i="4"/>
  <c r="H983" i="4"/>
  <c r="H982" i="4"/>
  <c r="H981" i="4"/>
  <c r="H980" i="4"/>
  <c r="H979" i="4"/>
  <c r="H978" i="4"/>
  <c r="H977" i="4"/>
  <c r="H976" i="4"/>
  <c r="H975" i="4"/>
  <c r="G974" i="4"/>
  <c r="F974" i="4"/>
  <c r="E974" i="4"/>
  <c r="H972" i="4"/>
  <c r="H971" i="4"/>
  <c r="G970" i="4"/>
  <c r="H970" i="4" s="1"/>
  <c r="F970" i="4"/>
  <c r="E970" i="4"/>
  <c r="H968" i="4"/>
  <c r="H967" i="4"/>
  <c r="H966" i="4"/>
  <c r="H965" i="4"/>
  <c r="H963" i="4"/>
  <c r="G962" i="4"/>
  <c r="H962" i="4" s="1"/>
  <c r="G961" i="4"/>
  <c r="H961" i="4" s="1"/>
  <c r="F960" i="4"/>
  <c r="E960" i="4"/>
  <c r="G958" i="4"/>
  <c r="H958" i="4" s="1"/>
  <c r="H957" i="4"/>
  <c r="H956" i="4"/>
  <c r="F955" i="4"/>
  <c r="E955" i="4"/>
  <c r="H951" i="4"/>
  <c r="H950" i="4"/>
  <c r="G949" i="4"/>
  <c r="F949" i="4"/>
  <c r="E949" i="4"/>
  <c r="H947" i="4"/>
  <c r="H946" i="4"/>
  <c r="H945" i="4"/>
  <c r="G944" i="4"/>
  <c r="F944" i="4"/>
  <c r="E944" i="4"/>
  <c r="H940" i="4"/>
  <c r="H939" i="4"/>
  <c r="H938" i="4"/>
  <c r="H937" i="4"/>
  <c r="H936" i="4"/>
  <c r="H935" i="4"/>
  <c r="H934" i="4"/>
  <c r="H932" i="4"/>
  <c r="H931" i="4"/>
  <c r="H930" i="4"/>
  <c r="H929" i="4"/>
  <c r="H928" i="4"/>
  <c r="G927" i="4"/>
  <c r="F927" i="4"/>
  <c r="E927" i="4"/>
  <c r="H925" i="4"/>
  <c r="H924" i="4"/>
  <c r="H923" i="4"/>
  <c r="G921" i="4"/>
  <c r="H921" i="4" s="1"/>
  <c r="H920" i="4"/>
  <c r="H919" i="4"/>
  <c r="G918" i="4"/>
  <c r="F917" i="4"/>
  <c r="F916" i="4" s="1"/>
  <c r="E917" i="4"/>
  <c r="E916" i="4" s="1"/>
  <c r="H914" i="4"/>
  <c r="H913" i="4"/>
  <c r="H912" i="4"/>
  <c r="H911" i="4"/>
  <c r="H910" i="4"/>
  <c r="H909" i="4"/>
  <c r="H908" i="4"/>
  <c r="H907" i="4"/>
  <c r="H906" i="4"/>
  <c r="G905" i="4"/>
  <c r="H905" i="4" s="1"/>
  <c r="G904" i="4"/>
  <c r="H904" i="4" s="1"/>
  <c r="G903" i="4"/>
  <c r="H903" i="4" s="1"/>
  <c r="G902" i="4"/>
  <c r="H902" i="4" s="1"/>
  <c r="H901" i="4"/>
  <c r="H900" i="4"/>
  <c r="G899" i="4"/>
  <c r="H899" i="4" s="1"/>
  <c r="G898" i="4"/>
  <c r="H898" i="4" s="1"/>
  <c r="G897" i="4"/>
  <c r="H897" i="4" s="1"/>
  <c r="H896" i="4"/>
  <c r="H894" i="4"/>
  <c r="G893" i="4"/>
  <c r="H893" i="4" s="1"/>
  <c r="G892" i="4"/>
  <c r="H892" i="4" s="1"/>
  <c r="H891" i="4"/>
  <c r="H890" i="4"/>
  <c r="H889" i="4"/>
  <c r="H888" i="4"/>
  <c r="G887" i="4"/>
  <c r="H887" i="4" s="1"/>
  <c r="G886" i="4"/>
  <c r="H886" i="4" s="1"/>
  <c r="G884" i="4"/>
  <c r="H884" i="4" s="1"/>
  <c r="G883" i="4"/>
  <c r="H883" i="4" s="1"/>
  <c r="H882" i="4"/>
  <c r="H881" i="4"/>
  <c r="H880" i="4"/>
  <c r="H879" i="4"/>
  <c r="H878" i="4"/>
  <c r="H877" i="4"/>
  <c r="H876" i="4"/>
  <c r="H875" i="4"/>
  <c r="H874" i="4"/>
  <c r="H873" i="4"/>
  <c r="H872" i="4"/>
  <c r="H871" i="4"/>
  <c r="F870" i="4"/>
  <c r="E870" i="4"/>
  <c r="H868" i="4"/>
  <c r="G867" i="4"/>
  <c r="G866" i="4" s="1"/>
  <c r="F866" i="4"/>
  <c r="E866" i="4"/>
  <c r="G864" i="4"/>
  <c r="H864" i="4" s="1"/>
  <c r="G863" i="4"/>
  <c r="H863" i="4" s="1"/>
  <c r="H862" i="4"/>
  <c r="H861" i="4"/>
  <c r="G860" i="4"/>
  <c r="H860" i="4" s="1"/>
  <c r="G859" i="4"/>
  <c r="H859" i="4" s="1"/>
  <c r="H858" i="4"/>
  <c r="G857" i="4"/>
  <c r="H857" i="4" s="1"/>
  <c r="G856" i="4"/>
  <c r="H856" i="4" s="1"/>
  <c r="G855" i="4"/>
  <c r="H855" i="4" s="1"/>
  <c r="G854" i="4"/>
  <c r="H854" i="4" s="1"/>
  <c r="G853" i="4"/>
  <c r="H853" i="4" s="1"/>
  <c r="H852" i="4"/>
  <c r="G851" i="4"/>
  <c r="H851" i="4" s="1"/>
  <c r="H850" i="4"/>
  <c r="G849" i="4"/>
  <c r="H849" i="4" s="1"/>
  <c r="G848" i="4"/>
  <c r="H848" i="4" s="1"/>
  <c r="G847" i="4"/>
  <c r="H847" i="4" s="1"/>
  <c r="G846" i="4"/>
  <c r="H846" i="4" s="1"/>
  <c r="G845" i="4"/>
  <c r="H845" i="4" s="1"/>
  <c r="G844" i="4"/>
  <c r="H844" i="4" s="1"/>
  <c r="G843" i="4"/>
  <c r="G842" i="4"/>
  <c r="H842" i="4" s="1"/>
  <c r="F841" i="4"/>
  <c r="E841" i="4"/>
  <c r="G839" i="4"/>
  <c r="H839" i="4" s="1"/>
  <c r="G838" i="4"/>
  <c r="H838" i="4" s="1"/>
  <c r="G837" i="4"/>
  <c r="H837" i="4" s="1"/>
  <c r="G836" i="4"/>
  <c r="H836" i="4" s="1"/>
  <c r="G835" i="4"/>
  <c r="H835" i="4" s="1"/>
  <c r="G834" i="4"/>
  <c r="F833" i="4"/>
  <c r="F832" i="4" s="1"/>
  <c r="F831" i="4" s="1"/>
  <c r="E833" i="4"/>
  <c r="H829" i="4"/>
  <c r="H828" i="4"/>
  <c r="H827" i="4"/>
  <c r="H826" i="4"/>
  <c r="H825" i="4"/>
  <c r="G824" i="4"/>
  <c r="F824" i="4"/>
  <c r="E824" i="4"/>
  <c r="H822" i="4"/>
  <c r="H821" i="4"/>
  <c r="H820" i="4"/>
  <c r="H819" i="4"/>
  <c r="H818" i="4"/>
  <c r="G817" i="4"/>
  <c r="F817" i="4"/>
  <c r="E817" i="4"/>
  <c r="H815" i="4"/>
  <c r="G814" i="4"/>
  <c r="F814" i="4"/>
  <c r="E814" i="4"/>
  <c r="H810" i="4"/>
  <c r="H809" i="4"/>
  <c r="H808" i="4"/>
  <c r="H807" i="4"/>
  <c r="H806" i="4"/>
  <c r="H805" i="4"/>
  <c r="H804" i="4"/>
  <c r="H803" i="4"/>
  <c r="H802" i="4"/>
  <c r="H801" i="4"/>
  <c r="H800" i="4"/>
  <c r="H799" i="4"/>
  <c r="H798" i="4"/>
  <c r="H797" i="4"/>
  <c r="G796" i="4"/>
  <c r="G795" i="4" s="1"/>
  <c r="G794" i="4" s="1"/>
  <c r="G793" i="4" s="1"/>
  <c r="F796" i="4"/>
  <c r="F795" i="4" s="1"/>
  <c r="F794" i="4" s="1"/>
  <c r="F793" i="4" s="1"/>
  <c r="E796" i="4"/>
  <c r="E795" i="4" s="1"/>
  <c r="E794" i="4" s="1"/>
  <c r="E793" i="4" s="1"/>
  <c r="H791" i="4"/>
  <c r="H790" i="4"/>
  <c r="H789" i="4"/>
  <c r="G788" i="4"/>
  <c r="F788" i="4"/>
  <c r="E788" i="4"/>
  <c r="H786" i="4"/>
  <c r="H785" i="4"/>
  <c r="H784" i="4"/>
  <c r="H783" i="4"/>
  <c r="G782" i="4"/>
  <c r="H782" i="4" s="1"/>
  <c r="F782" i="4"/>
  <c r="F781" i="4" s="1"/>
  <c r="E782" i="4"/>
  <c r="E781" i="4" s="1"/>
  <c r="H779" i="4"/>
  <c r="H778" i="4"/>
  <c r="H777" i="4"/>
  <c r="H776" i="4"/>
  <c r="H775" i="4"/>
  <c r="H774" i="4"/>
  <c r="H773" i="4"/>
  <c r="H772" i="4"/>
  <c r="H771" i="4"/>
  <c r="H770" i="4"/>
  <c r="H769" i="4"/>
  <c r="H768" i="4"/>
  <c r="H765" i="4"/>
  <c r="H764" i="4"/>
  <c r="H763" i="4"/>
  <c r="H762" i="4"/>
  <c r="H759" i="4"/>
  <c r="H758" i="4"/>
  <c r="H757" i="4"/>
  <c r="H756" i="4"/>
  <c r="H755" i="4"/>
  <c r="H754" i="4"/>
  <c r="H753" i="4"/>
  <c r="H752" i="4"/>
  <c r="H751" i="4"/>
  <c r="H750" i="4"/>
  <c r="H749" i="4"/>
  <c r="H748" i="4"/>
  <c r="H747" i="4"/>
  <c r="H746" i="4"/>
  <c r="H745" i="4"/>
  <c r="H744" i="4"/>
  <c r="H743" i="4"/>
  <c r="G742" i="4"/>
  <c r="F742" i="4"/>
  <c r="E742" i="4"/>
  <c r="H740" i="4"/>
  <c r="H739" i="4"/>
  <c r="H738" i="4"/>
  <c r="H737" i="4"/>
  <c r="G736" i="4"/>
  <c r="F736" i="4"/>
  <c r="E736" i="4"/>
  <c r="G733" i="4"/>
  <c r="G732" i="4" s="1"/>
  <c r="F733" i="4"/>
  <c r="F732" i="4" s="1"/>
  <c r="E733" i="4"/>
  <c r="E732" i="4" s="1"/>
  <c r="H729" i="4"/>
  <c r="G728" i="4"/>
  <c r="F728" i="4"/>
  <c r="E728" i="4"/>
  <c r="H726" i="4"/>
  <c r="H725" i="4"/>
  <c r="G724" i="4"/>
  <c r="F724" i="4"/>
  <c r="F723" i="4" s="1"/>
  <c r="E724" i="4"/>
  <c r="E723" i="4" s="1"/>
  <c r="H720" i="4"/>
  <c r="H719" i="4"/>
  <c r="H718" i="4"/>
  <c r="H717" i="4"/>
  <c r="H715" i="4"/>
  <c r="H714" i="4"/>
  <c r="H713" i="4"/>
  <c r="G708" i="4"/>
  <c r="F708" i="4"/>
  <c r="E708" i="4"/>
  <c r="H706" i="4"/>
  <c r="H705" i="4"/>
  <c r="H704" i="4"/>
  <c r="H703" i="4"/>
  <c r="H702" i="4"/>
  <c r="G697" i="4"/>
  <c r="F697" i="4"/>
  <c r="F696" i="4" s="1"/>
  <c r="E697" i="4"/>
  <c r="E696" i="4" s="1"/>
  <c r="H694" i="4"/>
  <c r="H693" i="4"/>
  <c r="H692" i="4"/>
  <c r="H691" i="4"/>
  <c r="G690" i="4"/>
  <c r="F690" i="4"/>
  <c r="E690" i="4"/>
  <c r="H688" i="4"/>
  <c r="H687" i="4"/>
  <c r="H686" i="4"/>
  <c r="H685" i="4"/>
  <c r="H684" i="4"/>
  <c r="H683" i="4"/>
  <c r="H682" i="4"/>
  <c r="H681" i="4"/>
  <c r="H680" i="4"/>
  <c r="H679" i="4"/>
  <c r="H678" i="4"/>
  <c r="H677" i="4"/>
  <c r="G676" i="4"/>
  <c r="F676" i="4"/>
  <c r="F675" i="4" s="1"/>
  <c r="E676" i="4"/>
  <c r="E675" i="4" s="1"/>
  <c r="H671" i="4"/>
  <c r="H670" i="4"/>
  <c r="G669" i="4"/>
  <c r="F669" i="4"/>
  <c r="F668" i="4" s="1"/>
  <c r="F667" i="4" s="1"/>
  <c r="E669" i="4"/>
  <c r="E668" i="4" s="1"/>
  <c r="E667" i="4" s="1"/>
  <c r="H666" i="4"/>
  <c r="H665" i="4"/>
  <c r="H664" i="4"/>
  <c r="H663" i="4"/>
  <c r="H662" i="4"/>
  <c r="H661" i="4"/>
  <c r="H660" i="4"/>
  <c r="H659" i="4"/>
  <c r="H658" i="4"/>
  <c r="H657" i="4"/>
  <c r="H656" i="4"/>
  <c r="H655" i="4"/>
  <c r="H654" i="4"/>
  <c r="H653" i="4"/>
  <c r="H652" i="4"/>
  <c r="H651" i="4"/>
  <c r="G650" i="4"/>
  <c r="F650" i="4"/>
  <c r="E650" i="4"/>
  <c r="H644" i="4"/>
  <c r="H643" i="4"/>
  <c r="H642" i="4"/>
  <c r="H641" i="4"/>
  <c r="H640" i="4"/>
  <c r="H639" i="4"/>
  <c r="H638" i="4"/>
  <c r="H637" i="4"/>
  <c r="H636" i="4"/>
  <c r="H635" i="4"/>
  <c r="H634" i="4"/>
  <c r="G632" i="4"/>
  <c r="F632" i="4"/>
  <c r="E632" i="4"/>
  <c r="H630" i="4"/>
  <c r="H629" i="4"/>
  <c r="H628" i="4"/>
  <c r="H627" i="4"/>
  <c r="H626" i="4"/>
  <c r="H625" i="4"/>
  <c r="G624" i="4"/>
  <c r="F624" i="4"/>
  <c r="E624" i="4"/>
  <c r="H620" i="4"/>
  <c r="G619" i="4"/>
  <c r="G618" i="4" s="1"/>
  <c r="G617" i="4" s="1"/>
  <c r="F619" i="4"/>
  <c r="F618" i="4" s="1"/>
  <c r="F617" i="4" s="1"/>
  <c r="E619" i="4"/>
  <c r="E618" i="4" s="1"/>
  <c r="E617" i="4" s="1"/>
  <c r="H616" i="4"/>
  <c r="H615" i="4"/>
  <c r="H614" i="4"/>
  <c r="H613" i="4"/>
  <c r="H612" i="4"/>
  <c r="G611" i="4"/>
  <c r="F611" i="4"/>
  <c r="E611" i="4"/>
  <c r="H609" i="4"/>
  <c r="H608" i="4"/>
  <c r="H607" i="4"/>
  <c r="H606" i="4"/>
  <c r="H605" i="4"/>
  <c r="H604" i="4"/>
  <c r="H603" i="4"/>
  <c r="H602" i="4"/>
  <c r="H601" i="4"/>
  <c r="H600" i="4"/>
  <c r="H599" i="4"/>
  <c r="H598" i="4"/>
  <c r="H597" i="4"/>
  <c r="H595" i="4"/>
  <c r="H594" i="4"/>
  <c r="H593" i="4"/>
  <c r="G592" i="4"/>
  <c r="F592" i="4"/>
  <c r="E592" i="4"/>
  <c r="H590" i="4"/>
  <c r="H589" i="4"/>
  <c r="H588" i="4"/>
  <c r="H587" i="4"/>
  <c r="H586" i="4"/>
  <c r="H585" i="4"/>
  <c r="G584" i="4"/>
  <c r="F584" i="4"/>
  <c r="E584" i="4"/>
  <c r="H579" i="4"/>
  <c r="H578" i="4"/>
  <c r="H577" i="4"/>
  <c r="G576" i="4"/>
  <c r="G575" i="4" s="1"/>
  <c r="F576" i="4"/>
  <c r="F575" i="4" s="1"/>
  <c r="E576" i="4"/>
  <c r="E575" i="4" s="1"/>
  <c r="H573" i="4"/>
  <c r="G572" i="4"/>
  <c r="G571" i="4" s="1"/>
  <c r="F572" i="4"/>
  <c r="F571" i="4" s="1"/>
  <c r="E572" i="4"/>
  <c r="E571" i="4" s="1"/>
  <c r="H567" i="4"/>
  <c r="H566" i="4"/>
  <c r="H565" i="4"/>
  <c r="H564" i="4"/>
  <c r="G563" i="4"/>
  <c r="F563" i="4"/>
  <c r="F562" i="4" s="1"/>
  <c r="E563" i="4"/>
  <c r="E562" i="4" s="1"/>
  <c r="H560" i="4"/>
  <c r="G559" i="4"/>
  <c r="F559" i="4"/>
  <c r="E559" i="4"/>
  <c r="H557" i="4"/>
  <c r="H556" i="4"/>
  <c r="H555" i="4"/>
  <c r="H554" i="4"/>
  <c r="H553" i="4"/>
  <c r="H552" i="4"/>
  <c r="H549" i="4"/>
  <c r="H548" i="4"/>
  <c r="H547" i="4"/>
  <c r="H546" i="4"/>
  <c r="G545" i="4"/>
  <c r="G544" i="4" s="1"/>
  <c r="F545" i="4"/>
  <c r="F544" i="4" s="1"/>
  <c r="E545" i="4"/>
  <c r="E544" i="4" s="1"/>
  <c r="H540" i="4"/>
  <c r="H539" i="4"/>
  <c r="G538" i="4"/>
  <c r="F538" i="4"/>
  <c r="F537" i="4" s="1"/>
  <c r="H516" i="4"/>
  <c r="H515" i="4"/>
  <c r="H514" i="4"/>
  <c r="H513" i="4"/>
  <c r="H512" i="4"/>
  <c r="H511" i="4"/>
  <c r="H510" i="4"/>
  <c r="H509" i="4"/>
  <c r="H508" i="4"/>
  <c r="H507" i="4"/>
  <c r="G506" i="4"/>
  <c r="F506" i="4"/>
  <c r="H504" i="4"/>
  <c r="H503" i="4"/>
  <c r="H502" i="4"/>
  <c r="H501" i="4"/>
  <c r="H500" i="4"/>
  <c r="H499" i="4"/>
  <c r="G498" i="4"/>
  <c r="F498" i="4"/>
  <c r="H494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G469" i="4"/>
  <c r="F469" i="4"/>
  <c r="H467" i="4"/>
  <c r="H466" i="4"/>
  <c r="H465" i="4"/>
  <c r="H464" i="4"/>
  <c r="G463" i="4"/>
  <c r="G462" i="4" s="1"/>
  <c r="G461" i="4" s="1"/>
  <c r="F463" i="4"/>
  <c r="F462" i="4" s="1"/>
  <c r="H458" i="4"/>
  <c r="G457" i="4"/>
  <c r="G2820" i="4" s="1"/>
  <c r="F457" i="4"/>
  <c r="F2820" i="4" s="1"/>
  <c r="E457" i="4"/>
  <c r="E2820" i="4" s="1"/>
  <c r="H456" i="4"/>
  <c r="H455" i="4"/>
  <c r="H454" i="4"/>
  <c r="H451" i="4"/>
  <c r="H450" i="4"/>
  <c r="H449" i="4"/>
  <c r="H448" i="4"/>
  <c r="H447" i="4"/>
  <c r="H446" i="4"/>
  <c r="G445" i="4"/>
  <c r="F445" i="4"/>
  <c r="E445" i="4"/>
  <c r="H443" i="4"/>
  <c r="H442" i="4"/>
  <c r="H441" i="4"/>
  <c r="H440" i="4"/>
  <c r="H439" i="4"/>
  <c r="G438" i="4"/>
  <c r="F438" i="4"/>
  <c r="E438" i="4"/>
  <c r="H434" i="4"/>
  <c r="H433" i="4"/>
  <c r="G432" i="4"/>
  <c r="G431" i="4" s="1"/>
  <c r="F432" i="4"/>
  <c r="F431" i="4" s="1"/>
  <c r="F422" i="4" s="1"/>
  <c r="E432" i="4"/>
  <c r="E431" i="4"/>
  <c r="E422" i="4" s="1"/>
  <c r="H430" i="4"/>
  <c r="H429" i="4"/>
  <c r="H428" i="4"/>
  <c r="H427" i="4"/>
  <c r="H426" i="4"/>
  <c r="H425" i="4"/>
  <c r="G424" i="4"/>
  <c r="G423" i="4" s="1"/>
  <c r="F424" i="4"/>
  <c r="E424" i="4"/>
  <c r="E423" i="4" s="1"/>
  <c r="H421" i="4"/>
  <c r="G420" i="4"/>
  <c r="F420" i="4"/>
  <c r="F419" i="4" s="1"/>
  <c r="E420" i="4"/>
  <c r="E419" i="4" s="1"/>
  <c r="H417" i="4"/>
  <c r="G416" i="4"/>
  <c r="G415" i="4" s="1"/>
  <c r="F416" i="4"/>
  <c r="F415" i="4" s="1"/>
  <c r="E416" i="4"/>
  <c r="E415" i="4" s="1"/>
  <c r="H413" i="4"/>
  <c r="G412" i="4"/>
  <c r="G411" i="4" s="1"/>
  <c r="F412" i="4"/>
  <c r="F411" i="4" s="1"/>
  <c r="F410" i="4" s="1"/>
  <c r="E412" i="4"/>
  <c r="E411" i="4" s="1"/>
  <c r="E410" i="4" s="1"/>
  <c r="H409" i="4"/>
  <c r="H408" i="4"/>
  <c r="H407" i="4"/>
  <c r="H406" i="4"/>
  <c r="H405" i="4"/>
  <c r="G404" i="4"/>
  <c r="G403" i="4" s="1"/>
  <c r="F404" i="4"/>
  <c r="F403" i="4" s="1"/>
  <c r="E404" i="4"/>
  <c r="E403" i="4" s="1"/>
  <c r="H401" i="4"/>
  <c r="G400" i="4"/>
  <c r="F400" i="4"/>
  <c r="F399" i="4" s="1"/>
  <c r="E400" i="4"/>
  <c r="E399" i="4" s="1"/>
  <c r="H397" i="4"/>
  <c r="H396" i="4"/>
  <c r="H395" i="4"/>
  <c r="H394" i="4"/>
  <c r="H392" i="4"/>
  <c r="H391" i="4"/>
  <c r="F390" i="4"/>
  <c r="H390" i="4" s="1"/>
  <c r="F389" i="4"/>
  <c r="H389" i="4" s="1"/>
  <c r="H388" i="4"/>
  <c r="F387" i="4"/>
  <c r="G386" i="4"/>
  <c r="E386" i="4"/>
  <c r="H384" i="4"/>
  <c r="H383" i="4"/>
  <c r="H382" i="4"/>
  <c r="H381" i="4"/>
  <c r="H379" i="4"/>
  <c r="H377" i="4"/>
  <c r="H376" i="4"/>
  <c r="H375" i="4"/>
  <c r="H374" i="4"/>
  <c r="H373" i="4"/>
  <c r="H372" i="4"/>
  <c r="H371" i="4"/>
  <c r="H370" i="4"/>
  <c r="G369" i="4"/>
  <c r="G368" i="4" s="1"/>
  <c r="F369" i="4"/>
  <c r="F368" i="4" s="1"/>
  <c r="E369" i="4"/>
  <c r="E368" i="4" s="1"/>
  <c r="H367" i="4"/>
  <c r="H366" i="4"/>
  <c r="H365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G337" i="4"/>
  <c r="F337" i="4"/>
  <c r="E337" i="4"/>
  <c r="H335" i="4"/>
  <c r="H334" i="4"/>
  <c r="H333" i="4"/>
  <c r="H332" i="4"/>
  <c r="H331" i="4"/>
  <c r="H330" i="4"/>
  <c r="G329" i="4"/>
  <c r="F329" i="4"/>
  <c r="F328" i="4" s="1"/>
  <c r="F327" i="4" s="1"/>
  <c r="E329" i="4"/>
  <c r="H325" i="4"/>
  <c r="H324" i="4"/>
  <c r="G323" i="4"/>
  <c r="F323" i="4"/>
  <c r="E323" i="4"/>
  <c r="H321" i="4"/>
  <c r="G320" i="4"/>
  <c r="G319" i="4" s="1"/>
  <c r="F320" i="4"/>
  <c r="E320" i="4"/>
  <c r="E319" i="4" s="1"/>
  <c r="H316" i="4"/>
  <c r="H315" i="4"/>
  <c r="H314" i="4"/>
  <c r="H313" i="4"/>
  <c r="H312" i="4"/>
  <c r="G311" i="4"/>
  <c r="G306" i="4" s="1"/>
  <c r="G305" i="4" s="1"/>
  <c r="F311" i="4"/>
  <c r="E311" i="4"/>
  <c r="E306" i="4" s="1"/>
  <c r="E305" i="4" s="1"/>
  <c r="H310" i="4"/>
  <c r="H309" i="4"/>
  <c r="H308" i="4"/>
  <c r="H307" i="4"/>
  <c r="H304" i="4"/>
  <c r="H303" i="4"/>
  <c r="H302" i="4"/>
  <c r="H301" i="4"/>
  <c r="H300" i="4"/>
  <c r="H299" i="4"/>
  <c r="H298" i="4"/>
  <c r="H297" i="4"/>
  <c r="G296" i="4"/>
  <c r="F296" i="4"/>
  <c r="H296" i="4" s="1"/>
  <c r="E296" i="4"/>
  <c r="H294" i="4"/>
  <c r="H293" i="4"/>
  <c r="H292" i="4"/>
  <c r="H291" i="4"/>
  <c r="H290" i="4"/>
  <c r="H289" i="4"/>
  <c r="H288" i="4"/>
  <c r="H287" i="4"/>
  <c r="G286" i="4"/>
  <c r="G285" i="4" s="1"/>
  <c r="F286" i="4"/>
  <c r="E286" i="4"/>
  <c r="E285" i="4" s="1"/>
  <c r="H283" i="4"/>
  <c r="G282" i="4"/>
  <c r="G276" i="4" s="1"/>
  <c r="F282" i="4"/>
  <c r="F276" i="4" s="1"/>
  <c r="E282" i="4"/>
  <c r="E276" i="4" s="1"/>
  <c r="H281" i="4"/>
  <c r="H280" i="4"/>
  <c r="H279" i="4"/>
  <c r="H278" i="4"/>
  <c r="H277" i="4"/>
  <c r="H272" i="4"/>
  <c r="G271" i="4"/>
  <c r="F271" i="4"/>
  <c r="E271" i="4"/>
  <c r="H267" i="4"/>
  <c r="H266" i="4"/>
  <c r="G265" i="4"/>
  <c r="G264" i="4" s="1"/>
  <c r="F265" i="4"/>
  <c r="E265" i="4"/>
  <c r="E264" i="4" s="1"/>
  <c r="H262" i="4"/>
  <c r="H261" i="4"/>
  <c r="H260" i="4"/>
  <c r="G259" i="4"/>
  <c r="F259" i="4"/>
  <c r="E259" i="4"/>
  <c r="H257" i="4"/>
  <c r="H256" i="4"/>
  <c r="H255" i="4"/>
  <c r="H254" i="4"/>
  <c r="G253" i="4"/>
  <c r="G252" i="4" s="1"/>
  <c r="F253" i="4"/>
  <c r="F252" i="4" s="1"/>
  <c r="E253" i="4"/>
  <c r="E252" i="4"/>
  <c r="H247" i="4"/>
  <c r="H246" i="4"/>
  <c r="H245" i="4"/>
  <c r="H244" i="4"/>
  <c r="H243" i="4"/>
  <c r="G242" i="4"/>
  <c r="G241" i="4" s="1"/>
  <c r="F242" i="4"/>
  <c r="F241" i="4" s="1"/>
  <c r="E242" i="4"/>
  <c r="E241" i="4" s="1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G226" i="4"/>
  <c r="H226" i="4" s="1"/>
  <c r="F226" i="4"/>
  <c r="E226" i="4"/>
  <c r="H224" i="4"/>
  <c r="H223" i="4"/>
  <c r="H222" i="4"/>
  <c r="H221" i="4"/>
  <c r="G220" i="4"/>
  <c r="F220" i="4"/>
  <c r="F219" i="4" s="1"/>
  <c r="E220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G187" i="4"/>
  <c r="G186" i="4" s="1"/>
  <c r="F187" i="4"/>
  <c r="F186" i="4" s="1"/>
  <c r="F185" i="4" s="1"/>
  <c r="F184" i="4" s="1"/>
  <c r="E187" i="4"/>
  <c r="E186" i="4" s="1"/>
  <c r="E185" i="4" s="1"/>
  <c r="E184" i="4" s="1"/>
  <c r="H183" i="4"/>
  <c r="H182" i="4"/>
  <c r="G181" i="4"/>
  <c r="F181" i="4"/>
  <c r="E181" i="4"/>
  <c r="H179" i="4"/>
  <c r="H178" i="4"/>
  <c r="H177" i="4"/>
  <c r="H176" i="4"/>
  <c r="H175" i="4"/>
  <c r="G174" i="4"/>
  <c r="H174" i="4" s="1"/>
  <c r="H173" i="4"/>
  <c r="H172" i="4"/>
  <c r="H171" i="4"/>
  <c r="F170" i="4"/>
  <c r="E170" i="4"/>
  <c r="H168" i="4"/>
  <c r="H167" i="4"/>
  <c r="H166" i="4"/>
  <c r="H165" i="4"/>
  <c r="H164" i="4"/>
  <c r="G163" i="4"/>
  <c r="F163" i="4"/>
  <c r="E163" i="4"/>
  <c r="E162" i="4" s="1"/>
  <c r="H159" i="4"/>
  <c r="H158" i="4"/>
  <c r="H157" i="4"/>
  <c r="H156" i="4"/>
  <c r="H155" i="4"/>
  <c r="H154" i="4"/>
  <c r="H153" i="4"/>
  <c r="G152" i="4"/>
  <c r="G151" i="4" s="1"/>
  <c r="F152" i="4"/>
  <c r="F151" i="4" s="1"/>
  <c r="E152" i="4"/>
  <c r="E151" i="4" s="1"/>
  <c r="H149" i="4"/>
  <c r="H148" i="4"/>
  <c r="G147" i="4"/>
  <c r="F147" i="4"/>
  <c r="E147" i="4"/>
  <c r="H145" i="4"/>
  <c r="H144" i="4"/>
  <c r="G143" i="4"/>
  <c r="G142" i="4" s="1"/>
  <c r="F143" i="4"/>
  <c r="E143" i="4"/>
  <c r="E142" i="4" s="1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G104" i="4"/>
  <c r="G103" i="4" s="1"/>
  <c r="G102" i="4" s="1"/>
  <c r="F104" i="4"/>
  <c r="E104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G45" i="4"/>
  <c r="F45" i="4"/>
  <c r="F44" i="4" s="1"/>
  <c r="E45" i="4"/>
  <c r="H42" i="4"/>
  <c r="G41" i="4"/>
  <c r="F41" i="4"/>
  <c r="E41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G21" i="4"/>
  <c r="F21" i="4"/>
  <c r="E21" i="4"/>
  <c r="H19" i="4"/>
  <c r="H18" i="4"/>
  <c r="H17" i="4"/>
  <c r="H16" i="4"/>
  <c r="H15" i="4"/>
  <c r="H14" i="4"/>
  <c r="G13" i="4"/>
  <c r="F13" i="4"/>
  <c r="E13" i="4"/>
  <c r="H1697" i="4" l="1"/>
  <c r="F1740" i="4"/>
  <c r="F1739" i="4" s="1"/>
  <c r="E1819" i="4"/>
  <c r="E1818" i="4" s="1"/>
  <c r="F2750" i="4"/>
  <c r="F2749" i="4" s="1"/>
  <c r="E1225" i="4"/>
  <c r="H2392" i="4"/>
  <c r="E1273" i="4"/>
  <c r="E1272" i="4" s="1"/>
  <c r="H1321" i="4"/>
  <c r="F497" i="4"/>
  <c r="H1911" i="4"/>
  <c r="G497" i="4"/>
  <c r="G496" i="4" s="1"/>
  <c r="H742" i="4"/>
  <c r="F813" i="4"/>
  <c r="F812" i="4" s="1"/>
  <c r="F811" i="4" s="1"/>
  <c r="E1263" i="4"/>
  <c r="F1283" i="4"/>
  <c r="F2383" i="4"/>
  <c r="H506" i="4"/>
  <c r="H824" i="4"/>
  <c r="G1358" i="4"/>
  <c r="E1378" i="4"/>
  <c r="E1377" i="4" s="1"/>
  <c r="E1376" i="4" s="1"/>
  <c r="H2309" i="4"/>
  <c r="F2382" i="4"/>
  <c r="F2381" i="4" s="1"/>
  <c r="H41" i="4"/>
  <c r="H866" i="4"/>
  <c r="H1359" i="4"/>
  <c r="G2007" i="4"/>
  <c r="E2205" i="4"/>
  <c r="F2241" i="4"/>
  <c r="F2240" i="4" s="1"/>
  <c r="F2239" i="4" s="1"/>
  <c r="F2288" i="4"/>
  <c r="F2287" i="4" s="1"/>
  <c r="F2286" i="4" s="1"/>
  <c r="H2313" i="4"/>
  <c r="E2558" i="4"/>
  <c r="H265" i="4"/>
  <c r="F583" i="4"/>
  <c r="F582" i="4" s="1"/>
  <c r="F581" i="4" s="1"/>
  <c r="H1280" i="4"/>
  <c r="H1622" i="4"/>
  <c r="F2532" i="4"/>
  <c r="F2531" i="4" s="1"/>
  <c r="H2537" i="4"/>
  <c r="E2713" i="4"/>
  <c r="H1389" i="4"/>
  <c r="H1412" i="4"/>
  <c r="H1824" i="4"/>
  <c r="E2750" i="4"/>
  <c r="E2749" i="4" s="1"/>
  <c r="E570" i="4"/>
  <c r="H728" i="4"/>
  <c r="H1285" i="4"/>
  <c r="G2462" i="4"/>
  <c r="G2461" i="4" s="1"/>
  <c r="G2460" i="4" s="1"/>
  <c r="E1440" i="4"/>
  <c r="E1439" i="4" s="1"/>
  <c r="E1438" i="4" s="1"/>
  <c r="G318" i="4"/>
  <c r="G317" i="4" s="1"/>
  <c r="F386" i="4"/>
  <c r="H386" i="4" s="1"/>
  <c r="E453" i="4"/>
  <c r="H817" i="4"/>
  <c r="F1723" i="4"/>
  <c r="E2655" i="4"/>
  <c r="E2654" i="4" s="1"/>
  <c r="E2653" i="4" s="1"/>
  <c r="E722" i="4"/>
  <c r="E721" i="4" s="1"/>
  <c r="F1378" i="4"/>
  <c r="F1377" i="4" s="1"/>
  <c r="F1376" i="4" s="1"/>
  <c r="E328" i="4"/>
  <c r="E327" i="4" s="1"/>
  <c r="E326" i="4" s="1"/>
  <c r="H1724" i="4"/>
  <c r="F2713" i="4"/>
  <c r="F2712" i="4" s="1"/>
  <c r="F2711" i="4" s="1"/>
  <c r="F2706" i="4" s="1"/>
  <c r="H438" i="4"/>
  <c r="H624" i="4"/>
  <c r="E832" i="4"/>
  <c r="E831" i="4" s="1"/>
  <c r="E830" i="4" s="1"/>
  <c r="G1692" i="4"/>
  <c r="H1692" i="4" s="1"/>
  <c r="H2195" i="4"/>
  <c r="E2532" i="4"/>
  <c r="F2606" i="4"/>
  <c r="F2605" i="4" s="1"/>
  <c r="H2611" i="4"/>
  <c r="G437" i="4"/>
  <c r="G436" i="4" s="1"/>
  <c r="E674" i="4"/>
  <c r="E673" i="4" s="1"/>
  <c r="E672" i="4" s="1"/>
  <c r="G917" i="4"/>
  <c r="H917" i="4" s="1"/>
  <c r="H1255" i="4"/>
  <c r="F1269" i="4"/>
  <c r="F1268" i="4" s="1"/>
  <c r="F1263" i="4" s="1"/>
  <c r="G2006" i="4"/>
  <c r="H2545" i="4"/>
  <c r="E12" i="4"/>
  <c r="E11" i="4" s="1"/>
  <c r="H143" i="4"/>
  <c r="E219" i="4"/>
  <c r="E218" i="4" s="1"/>
  <c r="E217" i="4" s="1"/>
  <c r="E583" i="4"/>
  <c r="E582" i="4" s="1"/>
  <c r="E581" i="4" s="1"/>
  <c r="H650" i="4"/>
  <c r="F674" i="4"/>
  <c r="F673" i="4" s="1"/>
  <c r="F672" i="4" s="1"/>
  <c r="F722" i="4"/>
  <c r="F721" i="4" s="1"/>
  <c r="H1020" i="4"/>
  <c r="H1630" i="4"/>
  <c r="F1691" i="4"/>
  <c r="H1763" i="4"/>
  <c r="F1835" i="4"/>
  <c r="F1834" i="4" s="1"/>
  <c r="F1833" i="4" s="1"/>
  <c r="H1867" i="4"/>
  <c r="E1996" i="4"/>
  <c r="H2312" i="4"/>
  <c r="H2384" i="4"/>
  <c r="E2488" i="4"/>
  <c r="E2487" i="4" s="1"/>
  <c r="E2486" i="4" s="1"/>
  <c r="F2499" i="4"/>
  <c r="F2498" i="4" s="1"/>
  <c r="F2497" i="4" s="1"/>
  <c r="H2583" i="4"/>
  <c r="F2774" i="4"/>
  <c r="F2773" i="4" s="1"/>
  <c r="E2797" i="4"/>
  <c r="H572" i="4"/>
  <c r="G1284" i="4"/>
  <c r="E1527" i="4"/>
  <c r="E1526" i="4" s="1"/>
  <c r="E1525" i="4" s="1"/>
  <c r="E1781" i="4"/>
  <c r="E1780" i="4" s="1"/>
  <c r="E1779" i="4" s="1"/>
  <c r="H2417" i="4"/>
  <c r="G12" i="4"/>
  <c r="G11" i="4" s="1"/>
  <c r="G141" i="4"/>
  <c r="G140" i="4" s="1"/>
  <c r="F398" i="4"/>
  <c r="H592" i="4"/>
  <c r="E943" i="4"/>
  <c r="E942" i="4" s="1"/>
  <c r="E941" i="4" s="1"/>
  <c r="E1060" i="4"/>
  <c r="E1059" i="4" s="1"/>
  <c r="H1243" i="4"/>
  <c r="H1465" i="4"/>
  <c r="H1873" i="4"/>
  <c r="H2088" i="4"/>
  <c r="E2115" i="4"/>
  <c r="E2114" i="4" s="1"/>
  <c r="E2437" i="4"/>
  <c r="E2436" i="4" s="1"/>
  <c r="H2523" i="4"/>
  <c r="F2655" i="4"/>
  <c r="F2654" i="4" s="1"/>
  <c r="F2653" i="4" s="1"/>
  <c r="G275" i="4"/>
  <c r="F326" i="4"/>
  <c r="H368" i="4"/>
  <c r="H949" i="4"/>
  <c r="H1186" i="4"/>
  <c r="G1241" i="4"/>
  <c r="H1914" i="4"/>
  <c r="H2023" i="4"/>
  <c r="H2235" i="4"/>
  <c r="H2603" i="4"/>
  <c r="H2755" i="4"/>
  <c r="H2793" i="4"/>
  <c r="H387" i="4"/>
  <c r="H404" i="4"/>
  <c r="H545" i="4"/>
  <c r="H736" i="4"/>
  <c r="H1057" i="4"/>
  <c r="H1870" i="4"/>
  <c r="E2113" i="4"/>
  <c r="E318" i="4"/>
  <c r="E317" i="4" s="1"/>
  <c r="H323" i="4"/>
  <c r="F414" i="4"/>
  <c r="H676" i="4"/>
  <c r="H708" i="4"/>
  <c r="H1031" i="4"/>
  <c r="H1219" i="4"/>
  <c r="H1235" i="4"/>
  <c r="E1241" i="4"/>
  <c r="E1240" i="4" s="1"/>
  <c r="H1643" i="4"/>
  <c r="E1711" i="4"/>
  <c r="E1792" i="4"/>
  <c r="E1791" i="4" s="1"/>
  <c r="E1790" i="4" s="1"/>
  <c r="H2214" i="4"/>
  <c r="G2288" i="4"/>
  <c r="G2287" i="4" s="1"/>
  <c r="H2463" i="4"/>
  <c r="H2468" i="4"/>
  <c r="F2510" i="4"/>
  <c r="F2509" i="4" s="1"/>
  <c r="E2712" i="4"/>
  <c r="E2711" i="4" s="1"/>
  <c r="E2775" i="4"/>
  <c r="E2774" i="4" s="1"/>
  <c r="E2773" i="4" s="1"/>
  <c r="H2784" i="4"/>
  <c r="H2789" i="4"/>
  <c r="H2815" i="4"/>
  <c r="F1613" i="4"/>
  <c r="F1612" i="4" s="1"/>
  <c r="F1611" i="4" s="1"/>
  <c r="H151" i="4"/>
  <c r="E251" i="4"/>
  <c r="E250" i="4" s="1"/>
  <c r="E275" i="4"/>
  <c r="E543" i="4"/>
  <c r="E542" i="4" s="1"/>
  <c r="F623" i="4"/>
  <c r="F622" i="4" s="1"/>
  <c r="F621" i="4" s="1"/>
  <c r="F580" i="4" s="1"/>
  <c r="H632" i="4"/>
  <c r="H927" i="4"/>
  <c r="E954" i="4"/>
  <c r="E953" i="4" s="1"/>
  <c r="E952" i="4" s="1"/>
  <c r="F1061" i="4"/>
  <c r="F1060" i="4" s="1"/>
  <c r="F1059" i="4" s="1"/>
  <c r="H1266" i="4"/>
  <c r="E1293" i="4"/>
  <c r="E1292" i="4" s="1"/>
  <c r="E1291" i="4" s="1"/>
  <c r="H1717" i="4"/>
  <c r="G1792" i="4"/>
  <c r="F1819" i="4"/>
  <c r="F1818" i="4" s="1"/>
  <c r="F2205" i="4"/>
  <c r="F2204" i="4" s="1"/>
  <c r="H2251" i="4"/>
  <c r="E2383" i="4"/>
  <c r="E2382" i="4" s="1"/>
  <c r="E2381" i="4" s="1"/>
  <c r="E2323" i="4" s="1"/>
  <c r="E2477" i="4"/>
  <c r="E2476" i="4" s="1"/>
  <c r="E2475" i="4" s="1"/>
  <c r="H2500" i="4"/>
  <c r="H2622" i="4"/>
  <c r="F731" i="4"/>
  <c r="F730" i="4" s="1"/>
  <c r="E1835" i="4"/>
  <c r="E1834" i="4" s="1"/>
  <c r="E1833" i="4" s="1"/>
  <c r="E1879" i="4"/>
  <c r="E1878" i="4" s="1"/>
  <c r="E1877" i="4" s="1"/>
  <c r="E414" i="4"/>
  <c r="H424" i="4"/>
  <c r="G813" i="4"/>
  <c r="G812" i="4" s="1"/>
  <c r="G811" i="4" s="1"/>
  <c r="G1091" i="4"/>
  <c r="H1091" i="4" s="1"/>
  <c r="E1740" i="4"/>
  <c r="E1739" i="4" s="1"/>
  <c r="G1781" i="4"/>
  <c r="G1780" i="4" s="1"/>
  <c r="G1779" i="4" s="1"/>
  <c r="H1803" i="4"/>
  <c r="E2241" i="4"/>
  <c r="E2240" i="4" s="1"/>
  <c r="E2239" i="4" s="1"/>
  <c r="H2298" i="4"/>
  <c r="H2483" i="4"/>
  <c r="H2555" i="4"/>
  <c r="G460" i="4"/>
  <c r="H618" i="4"/>
  <c r="G1025" i="4"/>
  <c r="H1025" i="4" s="1"/>
  <c r="H1026" i="4"/>
  <c r="E398" i="4"/>
  <c r="H2004" i="4"/>
  <c r="F2003" i="4"/>
  <c r="H2003" i="4" s="1"/>
  <c r="E161" i="4"/>
  <c r="E160" i="4" s="1"/>
  <c r="G219" i="4"/>
  <c r="H219" i="4" s="1"/>
  <c r="H241" i="4"/>
  <c r="H369" i="4"/>
  <c r="E437" i="4"/>
  <c r="E436" i="4" s="1"/>
  <c r="H2820" i="4"/>
  <c r="H538" i="4"/>
  <c r="H611" i="4"/>
  <c r="H669" i="4"/>
  <c r="G731" i="4"/>
  <c r="H795" i="4"/>
  <c r="H867" i="4"/>
  <c r="H918" i="4"/>
  <c r="F954" i="4"/>
  <c r="F953" i="4" s="1"/>
  <c r="F952" i="4" s="1"/>
  <c r="H974" i="4"/>
  <c r="H1013" i="4"/>
  <c r="G1012" i="4"/>
  <c r="H1012" i="4" s="1"/>
  <c r="F1217" i="4"/>
  <c r="F1213" i="4"/>
  <c r="G1265" i="4"/>
  <c r="H1265" i="4" s="1"/>
  <c r="F1273" i="4"/>
  <c r="F1272" i="4" s="1"/>
  <c r="G1279" i="4"/>
  <c r="H1279" i="4" s="1"/>
  <c r="F1293" i="4"/>
  <c r="F1292" i="4" s="1"/>
  <c r="F1291" i="4" s="1"/>
  <c r="H1304" i="4"/>
  <c r="G1293" i="4"/>
  <c r="E1358" i="4"/>
  <c r="E1357" i="4" s="1"/>
  <c r="E1356" i="4" s="1"/>
  <c r="H1374" i="4"/>
  <c r="G1440" i="4"/>
  <c r="G1439" i="4" s="1"/>
  <c r="G1720" i="4"/>
  <c r="H1720" i="4" s="1"/>
  <c r="H1721" i="4"/>
  <c r="G1776" i="4"/>
  <c r="H1777" i="4"/>
  <c r="E2607" i="4"/>
  <c r="E2606" i="4"/>
  <c r="E2605" i="4" s="1"/>
  <c r="H571" i="4"/>
  <c r="F2429" i="4"/>
  <c r="H2429" i="4" s="1"/>
  <c r="H2433" i="4"/>
  <c r="H2517" i="4"/>
  <c r="G2510" i="4"/>
  <c r="G2509" i="4" s="1"/>
  <c r="F2811" i="4"/>
  <c r="F2812" i="4"/>
  <c r="H152" i="4"/>
  <c r="H163" i="4"/>
  <c r="H181" i="4"/>
  <c r="H242" i="4"/>
  <c r="F251" i="4"/>
  <c r="H259" i="4"/>
  <c r="H286" i="4"/>
  <c r="H311" i="4"/>
  <c r="G328" i="4"/>
  <c r="H328" i="4" s="1"/>
  <c r="H337" i="4"/>
  <c r="H420" i="4"/>
  <c r="H457" i="4"/>
  <c r="H469" i="4"/>
  <c r="F543" i="4"/>
  <c r="F542" i="4" s="1"/>
  <c r="H563" i="4"/>
  <c r="G668" i="4"/>
  <c r="G667" i="4" s="1"/>
  <c r="H667" i="4" s="1"/>
  <c r="H690" i="4"/>
  <c r="H788" i="4"/>
  <c r="E813" i="4"/>
  <c r="E812" i="4" s="1"/>
  <c r="E811" i="4" s="1"/>
  <c r="G943" i="4"/>
  <c r="G942" i="4" s="1"/>
  <c r="G955" i="4"/>
  <c r="H955" i="4" s="1"/>
  <c r="H1062" i="4"/>
  <c r="H1086" i="4"/>
  <c r="G1275" i="4"/>
  <c r="H1276" i="4"/>
  <c r="F1358" i="4"/>
  <c r="F1357" i="4" s="1"/>
  <c r="F1356" i="4" s="1"/>
  <c r="F1527" i="4"/>
  <c r="F1526" i="4" s="1"/>
  <c r="F1525" i="4" s="1"/>
  <c r="H1538" i="4"/>
  <c r="H1557" i="4"/>
  <c r="H1737" i="4"/>
  <c r="F1736" i="4"/>
  <c r="F1731" i="4" s="1"/>
  <c r="H2327" i="4"/>
  <c r="F2326" i="4"/>
  <c r="F2325" i="4" s="1"/>
  <c r="F2324" i="4" s="1"/>
  <c r="F2323" i="4" s="1"/>
  <c r="H2759" i="4"/>
  <c r="F218" i="4"/>
  <c r="F217" i="4" s="1"/>
  <c r="E1213" i="4"/>
  <c r="E1217" i="4"/>
  <c r="G2488" i="4"/>
  <c r="G2487" i="4" s="1"/>
  <c r="G2486" i="4" s="1"/>
  <c r="H2494" i="4"/>
  <c r="E2818" i="4"/>
  <c r="E2817" i="4" s="1"/>
  <c r="E141" i="4"/>
  <c r="E140" i="4" s="1"/>
  <c r="H320" i="4"/>
  <c r="H403" i="4"/>
  <c r="F453" i="4"/>
  <c r="F461" i="4"/>
  <c r="F460" i="4" s="1"/>
  <c r="G675" i="4"/>
  <c r="G674" i="4" s="1"/>
  <c r="E731" i="4"/>
  <c r="E730" i="4" s="1"/>
  <c r="G781" i="4"/>
  <c r="F943" i="4"/>
  <c r="F942" i="4" s="1"/>
  <c r="F941" i="4" s="1"/>
  <c r="E1042" i="4"/>
  <c r="E1041" i="4" s="1"/>
  <c r="E1040" i="4" s="1"/>
  <c r="G1234" i="4"/>
  <c r="H1234" i="4" s="1"/>
  <c r="G1378" i="4"/>
  <c r="G1377" i="4" s="1"/>
  <c r="H1416" i="4"/>
  <c r="H1451" i="4"/>
  <c r="E1613" i="4"/>
  <c r="E1612" i="4" s="1"/>
  <c r="E1611" i="4" s="1"/>
  <c r="H1821" i="4"/>
  <c r="G1820" i="4"/>
  <c r="G1819" i="4" s="1"/>
  <c r="H2242" i="4"/>
  <c r="G2241" i="4"/>
  <c r="G2475" i="4"/>
  <c r="H2475" i="4" s="1"/>
  <c r="H2476" i="4"/>
  <c r="E1691" i="4"/>
  <c r="E1761" i="4"/>
  <c r="E1760" i="4" s="1"/>
  <c r="H1788" i="4"/>
  <c r="H1814" i="4"/>
  <c r="G1835" i="4"/>
  <c r="H1844" i="4"/>
  <c r="F1879" i="4"/>
  <c r="F1878" i="4" s="1"/>
  <c r="F1877" i="4" s="1"/>
  <c r="E2007" i="4"/>
  <c r="E2006" i="4" s="1"/>
  <c r="F2115" i="4"/>
  <c r="F2114" i="4" s="1"/>
  <c r="F2113" i="4" s="1"/>
  <c r="F2101" i="4" s="1"/>
  <c r="H2145" i="4"/>
  <c r="H2264" i="4"/>
  <c r="H2330" i="4"/>
  <c r="H2434" i="4"/>
  <c r="H2444" i="4"/>
  <c r="H2489" i="4"/>
  <c r="H2511" i="4"/>
  <c r="H2634" i="4"/>
  <c r="H2665" i="4"/>
  <c r="H2722" i="4"/>
  <c r="H2741" i="4"/>
  <c r="H2751" i="4"/>
  <c r="H1231" i="4"/>
  <c r="E1283" i="4"/>
  <c r="H1294" i="4"/>
  <c r="H1368" i="4"/>
  <c r="H1516" i="4"/>
  <c r="H1528" i="4"/>
  <c r="H1638" i="4"/>
  <c r="H1657" i="4"/>
  <c r="F1711" i="4"/>
  <c r="E2510" i="4"/>
  <c r="E2509" i="4" s="1"/>
  <c r="E2508" i="4" s="1"/>
  <c r="E2549" i="4"/>
  <c r="H2638" i="4"/>
  <c r="G2750" i="4"/>
  <c r="G2749" i="4" s="1"/>
  <c r="H2749" i="4" s="1"/>
  <c r="H2776" i="4"/>
  <c r="F1042" i="4"/>
  <c r="F1041" i="4" s="1"/>
  <c r="F1040" i="4" s="1"/>
  <c r="H1049" i="4"/>
  <c r="H1223" i="4"/>
  <c r="G1230" i="4"/>
  <c r="H1230" i="4" s="1"/>
  <c r="H1247" i="4"/>
  <c r="G1254" i="4"/>
  <c r="H1254" i="4" s="1"/>
  <c r="H1594" i="4"/>
  <c r="G1656" i="4"/>
  <c r="H1656" i="4" s="1"/>
  <c r="G1712" i="4"/>
  <c r="H1712" i="4" s="1"/>
  <c r="E1723" i="4"/>
  <c r="H1742" i="4"/>
  <c r="H1745" i="4"/>
  <c r="H1793" i="4"/>
  <c r="H1799" i="4"/>
  <c r="H1874" i="4"/>
  <c r="H1888" i="4"/>
  <c r="H1999" i="4"/>
  <c r="H2015" i="4"/>
  <c r="H2124" i="4"/>
  <c r="E2288" i="4"/>
  <c r="E2287" i="4" s="1"/>
  <c r="E2286" i="4" s="1"/>
  <c r="H2505" i="4"/>
  <c r="H2534" i="4"/>
  <c r="H2541" i="4"/>
  <c r="H2551" i="4"/>
  <c r="E2586" i="4"/>
  <c r="E2596" i="4"/>
  <c r="H2642" i="4"/>
  <c r="H2670" i="4"/>
  <c r="H2692" i="4"/>
  <c r="G2775" i="4"/>
  <c r="G2774" i="4" s="1"/>
  <c r="H2780" i="4"/>
  <c r="H2799" i="4"/>
  <c r="H793" i="4"/>
  <c r="G218" i="4"/>
  <c r="G410" i="4"/>
  <c r="H410" i="4" s="1"/>
  <c r="H411" i="4"/>
  <c r="H415" i="4"/>
  <c r="H431" i="4"/>
  <c r="G422" i="4"/>
  <c r="H422" i="4" s="1"/>
  <c r="G185" i="4"/>
  <c r="H186" i="4"/>
  <c r="G327" i="4"/>
  <c r="G251" i="4"/>
  <c r="H252" i="4"/>
  <c r="H276" i="4"/>
  <c r="G1094" i="4"/>
  <c r="H1094" i="4" s="1"/>
  <c r="H1106" i="4"/>
  <c r="H1210" i="4"/>
  <c r="G1206" i="4"/>
  <c r="G1221" i="4"/>
  <c r="H1221" i="4" s="1"/>
  <c r="H1222" i="4"/>
  <c r="G1226" i="4"/>
  <c r="H1227" i="4"/>
  <c r="G1268" i="4"/>
  <c r="E2810" i="4"/>
  <c r="F2818" i="4"/>
  <c r="F2817" i="4" s="1"/>
  <c r="G2812" i="4"/>
  <c r="G170" i="4"/>
  <c r="H220" i="4"/>
  <c r="H253" i="4"/>
  <c r="G2819" i="4"/>
  <c r="F306" i="4"/>
  <c r="F305" i="4" s="1"/>
  <c r="H305" i="4" s="1"/>
  <c r="H329" i="4"/>
  <c r="G419" i="4"/>
  <c r="H419" i="4" s="1"/>
  <c r="H432" i="4"/>
  <c r="H445" i="4"/>
  <c r="F496" i="4"/>
  <c r="F495" i="4" s="1"/>
  <c r="H559" i="4"/>
  <c r="G623" i="4"/>
  <c r="H781" i="4"/>
  <c r="G1042" i="4"/>
  <c r="H1043" i="4"/>
  <c r="G1200" i="4"/>
  <c r="H1201" i="4"/>
  <c r="H1284" i="4"/>
  <c r="H575" i="4"/>
  <c r="G723" i="4"/>
  <c r="H724" i="4"/>
  <c r="E2814" i="4"/>
  <c r="F142" i="4"/>
  <c r="F141" i="4" s="1"/>
  <c r="H147" i="4"/>
  <c r="F264" i="4"/>
  <c r="H264" i="4" s="1"/>
  <c r="H271" i="4"/>
  <c r="H282" i="4"/>
  <c r="F319" i="4"/>
  <c r="F318" i="4" s="1"/>
  <c r="F317" i="4" s="1"/>
  <c r="H463" i="4"/>
  <c r="H498" i="4"/>
  <c r="H544" i="4"/>
  <c r="G570" i="4"/>
  <c r="E623" i="4"/>
  <c r="E622" i="4" s="1"/>
  <c r="E621" i="4" s="1"/>
  <c r="G696" i="4"/>
  <c r="H696" i="4" s="1"/>
  <c r="H697" i="4"/>
  <c r="G1217" i="4"/>
  <c r="H1218" i="4"/>
  <c r="G1213" i="4"/>
  <c r="F1440" i="4"/>
  <c r="F1439" i="4" s="1"/>
  <c r="F1438" i="4" s="1"/>
  <c r="H1441" i="4"/>
  <c r="H21" i="4"/>
  <c r="H400" i="4"/>
  <c r="H584" i="4"/>
  <c r="H617" i="4"/>
  <c r="H794" i="4"/>
  <c r="G833" i="4"/>
  <c r="H834" i="4"/>
  <c r="G841" i="4"/>
  <c r="H841" i="4" s="1"/>
  <c r="H843" i="4"/>
  <c r="F2810" i="4"/>
  <c r="E44" i="4"/>
  <c r="H45" i="4"/>
  <c r="F2814" i="4"/>
  <c r="F12" i="4"/>
  <c r="H13" i="4"/>
  <c r="G44" i="4"/>
  <c r="H44" i="4" s="1"/>
  <c r="E103" i="4"/>
  <c r="E102" i="4" s="1"/>
  <c r="H187" i="4"/>
  <c r="H412" i="4"/>
  <c r="H416" i="4"/>
  <c r="G453" i="4"/>
  <c r="G562" i="4"/>
  <c r="H562" i="4" s="1"/>
  <c r="F570" i="4"/>
  <c r="H576" i="4"/>
  <c r="H619" i="4"/>
  <c r="H796" i="4"/>
  <c r="H814" i="4"/>
  <c r="F830" i="4"/>
  <c r="G960" i="4"/>
  <c r="H964" i="4"/>
  <c r="G1264" i="4"/>
  <c r="G1288" i="4"/>
  <c r="H1288" i="4" s="1"/>
  <c r="H1289" i="4"/>
  <c r="G1327" i="4"/>
  <c r="H1327" i="4" s="1"/>
  <c r="H1331" i="4"/>
  <c r="G1791" i="4"/>
  <c r="G2262" i="4"/>
  <c r="G2413" i="4"/>
  <c r="H2414" i="4"/>
  <c r="E2811" i="4"/>
  <c r="F103" i="4"/>
  <c r="F102" i="4" s="1"/>
  <c r="H102" i="4" s="1"/>
  <c r="H104" i="4"/>
  <c r="E2812" i="4"/>
  <c r="F162" i="4"/>
  <c r="F161" i="4" s="1"/>
  <c r="F160" i="4" s="1"/>
  <c r="E2819" i="4"/>
  <c r="F285" i="4"/>
  <c r="H285" i="4" s="1"/>
  <c r="G399" i="4"/>
  <c r="F423" i="4"/>
  <c r="H423" i="4" s="1"/>
  <c r="F437" i="4"/>
  <c r="F436" i="4" s="1"/>
  <c r="H462" i="4"/>
  <c r="G537" i="4"/>
  <c r="H537" i="4" s="1"/>
  <c r="G543" i="4"/>
  <c r="G583" i="4"/>
  <c r="G870" i="4"/>
  <c r="H870" i="4" s="1"/>
  <c r="G1070" i="4"/>
  <c r="H1070" i="4" s="1"/>
  <c r="H1071" i="4"/>
  <c r="F1225" i="4"/>
  <c r="G1357" i="4"/>
  <c r="G1731" i="4"/>
  <c r="G2115" i="4"/>
  <c r="H2116" i="4"/>
  <c r="G2813" i="4"/>
  <c r="F1242" i="4"/>
  <c r="F1241" i="4" s="1"/>
  <c r="F1240" i="4" s="1"/>
  <c r="E2813" i="4"/>
  <c r="G1527" i="4"/>
  <c r="G1613" i="4"/>
  <c r="H1614" i="4"/>
  <c r="G2149" i="4"/>
  <c r="H2149" i="4" s="1"/>
  <c r="H2151" i="4"/>
  <c r="H2194" i="4"/>
  <c r="G2205" i="4"/>
  <c r="H2206" i="4"/>
  <c r="G2797" i="4"/>
  <c r="H2798" i="4"/>
  <c r="G1701" i="4"/>
  <c r="H1701" i="4" s="1"/>
  <c r="H1702" i="4"/>
  <c r="G1728" i="4"/>
  <c r="H1728" i="4" s="1"/>
  <c r="H1729" i="4"/>
  <c r="G1757" i="4"/>
  <c r="H1758" i="4"/>
  <c r="G1761" i="4"/>
  <c r="H1762" i="4"/>
  <c r="H1782" i="4"/>
  <c r="F1781" i="4"/>
  <c r="F1780" i="4" s="1"/>
  <c r="F1779" i="4" s="1"/>
  <c r="F1792" i="4"/>
  <c r="F1791" i="4" s="1"/>
  <c r="F1790" i="4" s="1"/>
  <c r="H1796" i="4"/>
  <c r="G1809" i="4"/>
  <c r="H1809" i="4" s="1"/>
  <c r="H1810" i="4"/>
  <c r="G2532" i="4"/>
  <c r="H2533" i="4"/>
  <c r="H2598" i="4"/>
  <c r="F2597" i="4"/>
  <c r="F2596" i="4" s="1"/>
  <c r="H2596" i="4" s="1"/>
  <c r="H944" i="4"/>
  <c r="H1211" i="4"/>
  <c r="H1379" i="4"/>
  <c r="G1970" i="4"/>
  <c r="H1970" i="4" s="1"/>
  <c r="H1971" i="4"/>
  <c r="H2009" i="4"/>
  <c r="F2008" i="4"/>
  <c r="F2007" i="4" s="1"/>
  <c r="F2813" i="4"/>
  <c r="G1161" i="4"/>
  <c r="G2818" i="4" s="1"/>
  <c r="H1332" i="4"/>
  <c r="G1515" i="4"/>
  <c r="H1515" i="4" s="1"/>
  <c r="G1740" i="4"/>
  <c r="H1741" i="4"/>
  <c r="G1748" i="4"/>
  <c r="H1748" i="4" s="1"/>
  <c r="H1749" i="4"/>
  <c r="G1879" i="4"/>
  <c r="H1880" i="4"/>
  <c r="E2204" i="4"/>
  <c r="E2101" i="4" s="1"/>
  <c r="H2568" i="4"/>
  <c r="G2567" i="4"/>
  <c r="H2575" i="4"/>
  <c r="F2574" i="4"/>
  <c r="H2574" i="4" s="1"/>
  <c r="H2656" i="4"/>
  <c r="G1997" i="4"/>
  <c r="H1998" i="4"/>
  <c r="G2103" i="4"/>
  <c r="H2104" i="4"/>
  <c r="G2315" i="4"/>
  <c r="H2315" i="4" s="1"/>
  <c r="H2316" i="4"/>
  <c r="H2331" i="4"/>
  <c r="G2438" i="4"/>
  <c r="H2439" i="4"/>
  <c r="G2558" i="4"/>
  <c r="H2559" i="4"/>
  <c r="G2325" i="4"/>
  <c r="G2383" i="4"/>
  <c r="H2477" i="4"/>
  <c r="G2593" i="4"/>
  <c r="H2593" i="4" s="1"/>
  <c r="H2594" i="4"/>
  <c r="H2602" i="4"/>
  <c r="G2606" i="4"/>
  <c r="H2607" i="4"/>
  <c r="E2621" i="4"/>
  <c r="G2713" i="4"/>
  <c r="H2803" i="4"/>
  <c r="F2802" i="4"/>
  <c r="F2797" i="4" s="1"/>
  <c r="H2234" i="4"/>
  <c r="G2549" i="4"/>
  <c r="G2617" i="4"/>
  <c r="H2617" i="4" s="1"/>
  <c r="H2618" i="4"/>
  <c r="G2448" i="4"/>
  <c r="H2449" i="4"/>
  <c r="H2527" i="4"/>
  <c r="F2526" i="4"/>
  <c r="H2629" i="4"/>
  <c r="F2628" i="4"/>
  <c r="F2621" i="4" s="1"/>
  <c r="E2636" i="4"/>
  <c r="G2650" i="4"/>
  <c r="H2650" i="4" s="1"/>
  <c r="H2651" i="4"/>
  <c r="H1725" i="4"/>
  <c r="H1836" i="4"/>
  <c r="H2089" i="4"/>
  <c r="H2289" i="4"/>
  <c r="H2332" i="4"/>
  <c r="H2409" i="4"/>
  <c r="E2531" i="4"/>
  <c r="H2767" i="4"/>
  <c r="F2766" i="4"/>
  <c r="F2762" i="4" s="1"/>
  <c r="H2762" i="4" s="1"/>
  <c r="H2260" i="4"/>
  <c r="F2263" i="4"/>
  <c r="F2262" i="4" s="1"/>
  <c r="H2317" i="4"/>
  <c r="G2499" i="4"/>
  <c r="H2565" i="4"/>
  <c r="F2564" i="4"/>
  <c r="F2558" i="4" s="1"/>
  <c r="H2588" i="4"/>
  <c r="F2587" i="4"/>
  <c r="F2586" i="4" s="1"/>
  <c r="G2621" i="4"/>
  <c r="G2661" i="4"/>
  <c r="H2661" i="4" s="1"/>
  <c r="H2546" i="4"/>
  <c r="H2556" i="4"/>
  <c r="H2569" i="4"/>
  <c r="H2623" i="4"/>
  <c r="H2693" i="4"/>
  <c r="H2714" i="4"/>
  <c r="H2478" i="4"/>
  <c r="H2560" i="4"/>
  <c r="F2637" i="4"/>
  <c r="H2659" i="4"/>
  <c r="H2794" i="4"/>
  <c r="F2462" i="4"/>
  <c r="F2461" i="4" s="1"/>
  <c r="F2460" i="4" s="1"/>
  <c r="F2488" i="4"/>
  <c r="F2487" i="4" s="1"/>
  <c r="F2486" i="4" s="1"/>
  <c r="F2550" i="4"/>
  <c r="F2549" i="4" s="1"/>
  <c r="H2288" i="4" l="1"/>
  <c r="H2775" i="4"/>
  <c r="H811" i="4"/>
  <c r="F2238" i="4"/>
  <c r="H1269" i="4"/>
  <c r="H497" i="4"/>
  <c r="E2761" i="4"/>
  <c r="H1268" i="4"/>
  <c r="E2706" i="4"/>
  <c r="H812" i="4"/>
  <c r="H1242" i="4"/>
  <c r="H675" i="4"/>
  <c r="H460" i="4"/>
  <c r="H2587" i="4"/>
  <c r="H1731" i="4"/>
  <c r="E435" i="4"/>
  <c r="F2809" i="4"/>
  <c r="G730" i="4"/>
  <c r="H730" i="4" s="1"/>
  <c r="F2819" i="4"/>
  <c r="H1820" i="4"/>
  <c r="H668" i="4"/>
  <c r="E2238" i="4"/>
  <c r="G2810" i="4"/>
  <c r="F2508" i="4"/>
  <c r="F2421" i="4" s="1"/>
  <c r="H2802" i="4"/>
  <c r="E716" i="4"/>
  <c r="E541" i="4"/>
  <c r="F716" i="4"/>
  <c r="G1233" i="4"/>
  <c r="H1233" i="4" s="1"/>
  <c r="F2567" i="4"/>
  <c r="H2567" i="4" s="1"/>
  <c r="H2819" i="4"/>
  <c r="H2462" i="4"/>
  <c r="H2510" i="4"/>
  <c r="H674" i="4"/>
  <c r="H2750" i="4"/>
  <c r="H1781" i="4"/>
  <c r="H319" i="4"/>
  <c r="E10" i="4"/>
  <c r="E9" i="4" s="1"/>
  <c r="H142" i="4"/>
  <c r="E1817" i="4"/>
  <c r="E580" i="4"/>
  <c r="E2421" i="4"/>
  <c r="G916" i="4"/>
  <c r="H916" i="4" s="1"/>
  <c r="H731" i="4"/>
  <c r="E1690" i="4"/>
  <c r="H2460" i="4"/>
  <c r="H1217" i="4"/>
  <c r="H2326" i="4"/>
  <c r="F792" i="4"/>
  <c r="E249" i="4"/>
  <c r="H496" i="4"/>
  <c r="H1792" i="4"/>
  <c r="G414" i="4"/>
  <c r="H414" i="4" s="1"/>
  <c r="F541" i="4"/>
  <c r="H813" i="4"/>
  <c r="F1690" i="4"/>
  <c r="F1282" i="4"/>
  <c r="H2812" i="4"/>
  <c r="F250" i="4"/>
  <c r="G1834" i="4"/>
  <c r="H1835" i="4"/>
  <c r="H2241" i="4"/>
  <c r="G2240" i="4"/>
  <c r="E1282" i="4"/>
  <c r="H2597" i="4"/>
  <c r="H2008" i="4"/>
  <c r="H2526" i="4"/>
  <c r="H1378" i="4"/>
  <c r="H1213" i="4"/>
  <c r="H570" i="4"/>
  <c r="F1996" i="4"/>
  <c r="G1240" i="4"/>
  <c r="H1240" i="4" s="1"/>
  <c r="G1292" i="4"/>
  <c r="H1293" i="4"/>
  <c r="H2550" i="4"/>
  <c r="G2586" i="4"/>
  <c r="H2586" i="4" s="1"/>
  <c r="G2636" i="4"/>
  <c r="H1736" i="4"/>
  <c r="H1358" i="4"/>
  <c r="F435" i="4"/>
  <c r="H2263" i="4"/>
  <c r="H453" i="4"/>
  <c r="E792" i="4"/>
  <c r="H306" i="4"/>
  <c r="F459" i="4"/>
  <c r="G1711" i="4"/>
  <c r="H1711" i="4" s="1"/>
  <c r="H1275" i="4"/>
  <c r="G1274" i="4"/>
  <c r="H943" i="4"/>
  <c r="H1776" i="4"/>
  <c r="G1775" i="4"/>
  <c r="H461" i="4"/>
  <c r="G2817" i="4"/>
  <c r="H2817" i="4" s="1"/>
  <c r="H2818" i="4"/>
  <c r="H2486" i="4"/>
  <c r="G1612" i="4"/>
  <c r="H1613" i="4"/>
  <c r="G1739" i="4"/>
  <c r="H1739" i="4" s="1"/>
  <c r="H1740" i="4"/>
  <c r="G2531" i="4"/>
  <c r="H2532" i="4"/>
  <c r="G1526" i="4"/>
  <c r="H1527" i="4"/>
  <c r="G941" i="4"/>
  <c r="H941" i="4" s="1"/>
  <c r="H942" i="4"/>
  <c r="G1376" i="4"/>
  <c r="H1376" i="4" s="1"/>
  <c r="H1377" i="4"/>
  <c r="G1263" i="4"/>
  <c r="H1263" i="4" s="1"/>
  <c r="H1264" i="4"/>
  <c r="G1041" i="4"/>
  <c r="H1042" i="4"/>
  <c r="H437" i="4"/>
  <c r="G2811" i="4"/>
  <c r="H2811" i="4" s="1"/>
  <c r="G10" i="4"/>
  <c r="E2530" i="4"/>
  <c r="H2564" i="4"/>
  <c r="H2448" i="4"/>
  <c r="G2447" i="4"/>
  <c r="H2549" i="4"/>
  <c r="G2324" i="4"/>
  <c r="H2325" i="4"/>
  <c r="G2102" i="4"/>
  <c r="H2103" i="4"/>
  <c r="G1878" i="4"/>
  <c r="G1877" i="4" s="1"/>
  <c r="H1879" i="4"/>
  <c r="G1723" i="4"/>
  <c r="H1723" i="4" s="1"/>
  <c r="G1818" i="4"/>
  <c r="H1819" i="4"/>
  <c r="G1356" i="4"/>
  <c r="H1356" i="4" s="1"/>
  <c r="H1357" i="4"/>
  <c r="H2262" i="4"/>
  <c r="H1241" i="4"/>
  <c r="F2808" i="4"/>
  <c r="H723" i="4"/>
  <c r="G722" i="4"/>
  <c r="G1283" i="4"/>
  <c r="E2809" i="4"/>
  <c r="E2808" i="4" s="1"/>
  <c r="G1225" i="4"/>
  <c r="H1225" i="4" s="1"/>
  <c r="H1226" i="4"/>
  <c r="F275" i="4"/>
  <c r="H275" i="4" s="1"/>
  <c r="H327" i="4"/>
  <c r="G326" i="4"/>
  <c r="H326" i="4" s="1"/>
  <c r="H2621" i="4"/>
  <c r="G2382" i="4"/>
  <c r="H2383" i="4"/>
  <c r="H2488" i="4"/>
  <c r="G2655" i="4"/>
  <c r="G2773" i="4"/>
  <c r="H2774" i="4"/>
  <c r="G1756" i="4"/>
  <c r="H1756" i="4" s="1"/>
  <c r="H1757" i="4"/>
  <c r="H2797" i="4"/>
  <c r="F1205" i="4"/>
  <c r="G582" i="4"/>
  <c r="H583" i="4"/>
  <c r="G398" i="4"/>
  <c r="H398" i="4" s="1"/>
  <c r="H399" i="4"/>
  <c r="G1790" i="4"/>
  <c r="H1790" i="4" s="1"/>
  <c r="H1791" i="4"/>
  <c r="F11" i="4"/>
  <c r="H12" i="4"/>
  <c r="G832" i="4"/>
  <c r="H833" i="4"/>
  <c r="H2287" i="4"/>
  <c r="G2286" i="4"/>
  <c r="H2286" i="4" s="1"/>
  <c r="H623" i="4"/>
  <c r="G622" i="4"/>
  <c r="G162" i="4"/>
  <c r="H170" i="4"/>
  <c r="G1061" i="4"/>
  <c r="G673" i="4"/>
  <c r="H1161" i="4"/>
  <c r="G1160" i="4"/>
  <c r="H1160" i="4" s="1"/>
  <c r="G2204" i="4"/>
  <c r="H2204" i="4" s="1"/>
  <c r="H2205" i="4"/>
  <c r="G2114" i="4"/>
  <c r="H2115" i="4"/>
  <c r="G2412" i="4"/>
  <c r="H2413" i="4"/>
  <c r="G1760" i="4"/>
  <c r="H1760" i="4" s="1"/>
  <c r="H1761" i="4"/>
  <c r="F2761" i="4"/>
  <c r="H2766" i="4"/>
  <c r="H2628" i="4"/>
  <c r="H2558" i="4"/>
  <c r="G1996" i="4"/>
  <c r="H1997" i="4"/>
  <c r="H2509" i="4"/>
  <c r="G2508" i="4"/>
  <c r="H1440" i="4"/>
  <c r="H2813" i="4"/>
  <c r="G542" i="4"/>
  <c r="H543" i="4"/>
  <c r="H1439" i="4"/>
  <c r="G954" i="4"/>
  <c r="H960" i="4"/>
  <c r="H436" i="4"/>
  <c r="F140" i="4"/>
  <c r="H140" i="4" s="1"/>
  <c r="H141" i="4"/>
  <c r="H1780" i="4"/>
  <c r="G495" i="4"/>
  <c r="H318" i="4"/>
  <c r="H2810" i="4"/>
  <c r="H218" i="4"/>
  <c r="G217" i="4"/>
  <c r="H217" i="4" s="1"/>
  <c r="H2713" i="4"/>
  <c r="G2712" i="4"/>
  <c r="G2605" i="4"/>
  <c r="H2605" i="4" s="1"/>
  <c r="H2606" i="4"/>
  <c r="H2438" i="4"/>
  <c r="G2437" i="4"/>
  <c r="H2637" i="4"/>
  <c r="F2636" i="4"/>
  <c r="G2498" i="4"/>
  <c r="H2499" i="4"/>
  <c r="H2461" i="4"/>
  <c r="H2487" i="4"/>
  <c r="F2006" i="4"/>
  <c r="H2007" i="4"/>
  <c r="G1438" i="4"/>
  <c r="H1438" i="4" s="1"/>
  <c r="G2814" i="4"/>
  <c r="H2814" i="4" s="1"/>
  <c r="G1691" i="4"/>
  <c r="H1779" i="4"/>
  <c r="G1199" i="4"/>
  <c r="H1200" i="4"/>
  <c r="H103" i="4"/>
  <c r="H1206" i="4"/>
  <c r="H251" i="4"/>
  <c r="G250" i="4"/>
  <c r="G184" i="4"/>
  <c r="H184" i="4" s="1"/>
  <c r="H185" i="4"/>
  <c r="H317" i="4"/>
  <c r="G435" i="4"/>
  <c r="H435" i="4" s="1"/>
  <c r="H2508" i="4" l="1"/>
  <c r="F249" i="4"/>
  <c r="H1996" i="4"/>
  <c r="E2805" i="4"/>
  <c r="E2822" i="4" s="1"/>
  <c r="E2823" i="4" s="1"/>
  <c r="G2809" i="4"/>
  <c r="H2809" i="4" s="1"/>
  <c r="H2636" i="4"/>
  <c r="G1273" i="4"/>
  <c r="H1274" i="4"/>
  <c r="G1291" i="4"/>
  <c r="H1291" i="4" s="1"/>
  <c r="H1292" i="4"/>
  <c r="G1774" i="4"/>
  <c r="H1774" i="4" s="1"/>
  <c r="H1775" i="4"/>
  <c r="G1833" i="4"/>
  <c r="H1833" i="4" s="1"/>
  <c r="H1834" i="4"/>
  <c r="H2240" i="4"/>
  <c r="G2239" i="4"/>
  <c r="H2239" i="4" s="1"/>
  <c r="H495" i="4"/>
  <c r="G459" i="4"/>
  <c r="H459" i="4" s="1"/>
  <c r="F2530" i="4"/>
  <c r="G1060" i="4"/>
  <c r="H1061" i="4"/>
  <c r="H722" i="4"/>
  <c r="G721" i="4"/>
  <c r="H542" i="4"/>
  <c r="G541" i="4"/>
  <c r="H541" i="4" s="1"/>
  <c r="G161" i="4"/>
  <c r="H162" i="4"/>
  <c r="H832" i="4"/>
  <c r="G831" i="4"/>
  <c r="H1526" i="4"/>
  <c r="G1525" i="4"/>
  <c r="H1525" i="4" s="1"/>
  <c r="H1612" i="4"/>
  <c r="G1611" i="4"/>
  <c r="H1611" i="4" s="1"/>
  <c r="G2711" i="4"/>
  <c r="H2712" i="4"/>
  <c r="G2411" i="4"/>
  <c r="H2411" i="4" s="1"/>
  <c r="H2412" i="4"/>
  <c r="H2531" i="4"/>
  <c r="F1817" i="4"/>
  <c r="H2006" i="4"/>
  <c r="G2654" i="4"/>
  <c r="H2655" i="4"/>
  <c r="H2102" i="4"/>
  <c r="H2114" i="4"/>
  <c r="G2113" i="4"/>
  <c r="H2113" i="4" s="1"/>
  <c r="H1041" i="4"/>
  <c r="G1040" i="4"/>
  <c r="H1040" i="4" s="1"/>
  <c r="G1690" i="4"/>
  <c r="H1690" i="4" s="1"/>
  <c r="H1691" i="4"/>
  <c r="H2324" i="4"/>
  <c r="G1205" i="4"/>
  <c r="H1205" i="4" s="1"/>
  <c r="G2497" i="4"/>
  <c r="H2497" i="4" s="1"/>
  <c r="H2498" i="4"/>
  <c r="G621" i="4"/>
  <c r="H621" i="4" s="1"/>
  <c r="H622" i="4"/>
  <c r="G2381" i="4"/>
  <c r="H2381" i="4" s="1"/>
  <c r="H2382" i="4"/>
  <c r="H2447" i="4"/>
  <c r="G2446" i="4"/>
  <c r="H2446" i="4" s="1"/>
  <c r="H2773" i="4"/>
  <c r="G2761" i="4"/>
  <c r="H2761" i="4" s="1"/>
  <c r="F10" i="4"/>
  <c r="F9" i="4" s="1"/>
  <c r="H11" i="4"/>
  <c r="H1199" i="4"/>
  <c r="G1198" i="4"/>
  <c r="G581" i="4"/>
  <c r="H582" i="4"/>
  <c r="H1818" i="4"/>
  <c r="G249" i="4"/>
  <c r="H249" i="4" s="1"/>
  <c r="H250" i="4"/>
  <c r="G953" i="4"/>
  <c r="H954" i="4"/>
  <c r="H673" i="4"/>
  <c r="G672" i="4"/>
  <c r="H672" i="4" s="1"/>
  <c r="H2437" i="4"/>
  <c r="G2436" i="4"/>
  <c r="H1283" i="4"/>
  <c r="G2238" i="4" l="1"/>
  <c r="H2238" i="4" s="1"/>
  <c r="G2808" i="4"/>
  <c r="H2808" i="4" s="1"/>
  <c r="G1817" i="4"/>
  <c r="H1817" i="4" s="1"/>
  <c r="G2323" i="4"/>
  <c r="H2323" i="4" s="1"/>
  <c r="G1272" i="4"/>
  <c r="H1272" i="4" s="1"/>
  <c r="H1273" i="4"/>
  <c r="H10" i="4"/>
  <c r="G1282" i="4"/>
  <c r="H1282" i="4" s="1"/>
  <c r="G952" i="4"/>
  <c r="H952" i="4" s="1"/>
  <c r="H953" i="4"/>
  <c r="H581" i="4"/>
  <c r="G580" i="4"/>
  <c r="H580" i="4" s="1"/>
  <c r="G2653" i="4"/>
  <c r="H2654" i="4"/>
  <c r="G160" i="4"/>
  <c r="H161" i="4"/>
  <c r="G1059" i="4"/>
  <c r="H1059" i="4" s="1"/>
  <c r="H1060" i="4"/>
  <c r="H2436" i="4"/>
  <c r="G2421" i="4"/>
  <c r="H2421" i="4" s="1"/>
  <c r="G1197" i="4"/>
  <c r="H1197" i="4" s="1"/>
  <c r="H1198" i="4"/>
  <c r="H2711" i="4"/>
  <c r="G2706" i="4"/>
  <c r="H2706" i="4" s="1"/>
  <c r="G2101" i="4"/>
  <c r="H2101" i="4" s="1"/>
  <c r="G830" i="4"/>
  <c r="H831" i="4"/>
  <c r="H721" i="4"/>
  <c r="G716" i="4"/>
  <c r="H716" i="4" s="1"/>
  <c r="F2805" i="4"/>
  <c r="F2822" i="4" s="1"/>
  <c r="F2823" i="4" s="1"/>
  <c r="H830" i="4" l="1"/>
  <c r="G792" i="4"/>
  <c r="H792" i="4" s="1"/>
  <c r="H160" i="4"/>
  <c r="G9" i="4"/>
  <c r="H2653" i="4"/>
  <c r="G2530" i="4"/>
  <c r="H2530" i="4" s="1"/>
  <c r="G2805" i="4" l="1"/>
  <c r="H9" i="4"/>
  <c r="G2822" i="4" l="1"/>
  <c r="G2823" i="4" s="1"/>
  <c r="H2805" i="4"/>
  <c r="H636" i="3" l="1"/>
  <c r="H635" i="3"/>
  <c r="K633" i="3"/>
  <c r="H633" i="3"/>
  <c r="K632" i="3"/>
  <c r="H632" i="3"/>
  <c r="K628" i="3"/>
  <c r="H628" i="3"/>
  <c r="K627" i="3"/>
  <c r="H627" i="3"/>
  <c r="K626" i="3"/>
  <c r="H626" i="3"/>
  <c r="K625" i="3"/>
  <c r="H625" i="3"/>
  <c r="K623" i="3"/>
  <c r="J622" i="3"/>
  <c r="J621" i="3"/>
  <c r="K621" i="3" s="1"/>
  <c r="H621" i="3"/>
  <c r="I620" i="3"/>
  <c r="I619" i="3" s="1"/>
  <c r="I618" i="3" s="1"/>
  <c r="G620" i="3"/>
  <c r="G619" i="3" s="1"/>
  <c r="F620" i="3"/>
  <c r="F619" i="3" s="1"/>
  <c r="F618" i="3" s="1"/>
  <c r="E620" i="3"/>
  <c r="E619" i="3"/>
  <c r="E618" i="3" s="1"/>
  <c r="J616" i="3"/>
  <c r="K616" i="3" s="1"/>
  <c r="H616" i="3"/>
  <c r="I615" i="3"/>
  <c r="I614" i="3" s="1"/>
  <c r="G615" i="3"/>
  <c r="G614" i="3" s="1"/>
  <c r="F615" i="3"/>
  <c r="F614" i="3" s="1"/>
  <c r="E615" i="3"/>
  <c r="E614" i="3" s="1"/>
  <c r="J612" i="3"/>
  <c r="J611" i="3"/>
  <c r="K611" i="3" s="1"/>
  <c r="H611" i="3"/>
  <c r="J610" i="3"/>
  <c r="K610" i="3" s="1"/>
  <c r="H610" i="3"/>
  <c r="J609" i="3"/>
  <c r="K609" i="3" s="1"/>
  <c r="I608" i="3"/>
  <c r="I607" i="3" s="1"/>
  <c r="G608" i="3"/>
  <c r="G607" i="3" s="1"/>
  <c r="F608" i="3"/>
  <c r="F607" i="3" s="1"/>
  <c r="E608" i="3"/>
  <c r="E607" i="3" s="1"/>
  <c r="J605" i="3"/>
  <c r="I604" i="3"/>
  <c r="I603" i="3" s="1"/>
  <c r="G604" i="3"/>
  <c r="G603" i="3" s="1"/>
  <c r="F604" i="3"/>
  <c r="F603" i="3" s="1"/>
  <c r="E604" i="3"/>
  <c r="E603" i="3" s="1"/>
  <c r="K601" i="3"/>
  <c r="H601" i="3"/>
  <c r="K600" i="3"/>
  <c r="H600" i="3"/>
  <c r="K599" i="3"/>
  <c r="H599" i="3"/>
  <c r="K598" i="3"/>
  <c r="H598" i="3"/>
  <c r="K597" i="3"/>
  <c r="H597" i="3"/>
  <c r="K596" i="3"/>
  <c r="H596" i="3"/>
  <c r="J595" i="3"/>
  <c r="I595" i="3"/>
  <c r="G595" i="3"/>
  <c r="F595" i="3"/>
  <c r="E595" i="3"/>
  <c r="J593" i="3"/>
  <c r="J592" i="3" s="1"/>
  <c r="J591" i="3" s="1"/>
  <c r="H593" i="3"/>
  <c r="I592" i="3"/>
  <c r="I591" i="3" s="1"/>
  <c r="G592" i="3"/>
  <c r="F592" i="3"/>
  <c r="F591" i="3" s="1"/>
  <c r="E592" i="3"/>
  <c r="E591" i="3" s="1"/>
  <c r="J589" i="3"/>
  <c r="K589" i="3" s="1"/>
  <c r="H589" i="3"/>
  <c r="J588" i="3"/>
  <c r="K588" i="3" s="1"/>
  <c r="H588" i="3"/>
  <c r="J587" i="3"/>
  <c r="K587" i="3" s="1"/>
  <c r="H587" i="3"/>
  <c r="I586" i="3"/>
  <c r="I585" i="3" s="1"/>
  <c r="G586" i="3"/>
  <c r="G585" i="3" s="1"/>
  <c r="F586" i="3"/>
  <c r="F585" i="3" s="1"/>
  <c r="E586" i="3"/>
  <c r="E585" i="3" s="1"/>
  <c r="J583" i="3"/>
  <c r="K583" i="3" s="1"/>
  <c r="H583" i="3"/>
  <c r="J582" i="3"/>
  <c r="K582" i="3" s="1"/>
  <c r="H582" i="3"/>
  <c r="J581" i="3"/>
  <c r="K581" i="3" s="1"/>
  <c r="H581" i="3"/>
  <c r="K580" i="3"/>
  <c r="J580" i="3"/>
  <c r="H580" i="3"/>
  <c r="I579" i="3"/>
  <c r="G579" i="3"/>
  <c r="F579" i="3"/>
  <c r="E579" i="3"/>
  <c r="I578" i="3"/>
  <c r="G578" i="3"/>
  <c r="F578" i="3"/>
  <c r="E578" i="3"/>
  <c r="K576" i="3"/>
  <c r="H576" i="3"/>
  <c r="J575" i="3"/>
  <c r="H575" i="3"/>
  <c r="I574" i="3"/>
  <c r="I573" i="3" s="1"/>
  <c r="G574" i="3"/>
  <c r="F574" i="3"/>
  <c r="F573" i="3" s="1"/>
  <c r="E574" i="3"/>
  <c r="E573" i="3" s="1"/>
  <c r="J571" i="3"/>
  <c r="K571" i="3" s="1"/>
  <c r="I570" i="3"/>
  <c r="I569" i="3" s="1"/>
  <c r="G570" i="3"/>
  <c r="G569" i="3" s="1"/>
  <c r="F570" i="3"/>
  <c r="F569" i="3" s="1"/>
  <c r="E570" i="3"/>
  <c r="E569" i="3" s="1"/>
  <c r="K566" i="3"/>
  <c r="H566" i="3"/>
  <c r="J565" i="3"/>
  <c r="K565" i="3" s="1"/>
  <c r="H565" i="3"/>
  <c r="K564" i="3"/>
  <c r="H564" i="3"/>
  <c r="I563" i="3"/>
  <c r="I562" i="3" s="1"/>
  <c r="G563" i="3"/>
  <c r="F563" i="3"/>
  <c r="F562" i="3" s="1"/>
  <c r="E563" i="3"/>
  <c r="E562" i="3" s="1"/>
  <c r="J560" i="3"/>
  <c r="J559" i="3" s="1"/>
  <c r="H560" i="3"/>
  <c r="I559" i="3"/>
  <c r="I558" i="3" s="1"/>
  <c r="G559" i="3"/>
  <c r="G558" i="3" s="1"/>
  <c r="F559" i="3"/>
  <c r="F558" i="3" s="1"/>
  <c r="E559" i="3"/>
  <c r="E558" i="3" s="1"/>
  <c r="K557" i="3"/>
  <c r="H557" i="3"/>
  <c r="K556" i="3"/>
  <c r="H556" i="3"/>
  <c r="K555" i="3"/>
  <c r="H555" i="3"/>
  <c r="K554" i="3"/>
  <c r="H554" i="3"/>
  <c r="K553" i="3"/>
  <c r="H553" i="3"/>
  <c r="J552" i="3"/>
  <c r="I552" i="3"/>
  <c r="I551" i="3" s="1"/>
  <c r="G552" i="3"/>
  <c r="F552" i="3"/>
  <c r="F551" i="3" s="1"/>
  <c r="E552" i="3"/>
  <c r="E551" i="3" s="1"/>
  <c r="K549" i="3"/>
  <c r="H549" i="3"/>
  <c r="K548" i="3"/>
  <c r="H548" i="3"/>
  <c r="K547" i="3"/>
  <c r="H547" i="3"/>
  <c r="K546" i="3"/>
  <c r="H546" i="3"/>
  <c r="K545" i="3"/>
  <c r="H545" i="3"/>
  <c r="J544" i="3"/>
  <c r="J543" i="3" s="1"/>
  <c r="F543" i="3"/>
  <c r="J542" i="3"/>
  <c r="K542" i="3" s="1"/>
  <c r="J541" i="3"/>
  <c r="K541" i="3" s="1"/>
  <c r="K540" i="3"/>
  <c r="J539" i="3"/>
  <c r="K539" i="3" s="1"/>
  <c r="J538" i="3"/>
  <c r="K538" i="3" s="1"/>
  <c r="J537" i="3"/>
  <c r="K537" i="3" s="1"/>
  <c r="H537" i="3"/>
  <c r="J536" i="3"/>
  <c r="K536" i="3" s="1"/>
  <c r="H536" i="3"/>
  <c r="K535" i="3"/>
  <c r="H535" i="3"/>
  <c r="K534" i="3"/>
  <c r="H534" i="3"/>
  <c r="I533" i="3"/>
  <c r="I532" i="3" s="1"/>
  <c r="G533" i="3"/>
  <c r="F533" i="3"/>
  <c r="E533" i="3"/>
  <c r="E532" i="3" s="1"/>
  <c r="K530" i="3"/>
  <c r="H530" i="3"/>
  <c r="K529" i="3"/>
  <c r="H529" i="3"/>
  <c r="K528" i="3"/>
  <c r="H528" i="3"/>
  <c r="J527" i="3"/>
  <c r="K527" i="3" s="1"/>
  <c r="H527" i="3"/>
  <c r="J526" i="3"/>
  <c r="K526" i="3" s="1"/>
  <c r="H526" i="3"/>
  <c r="J525" i="3"/>
  <c r="K525" i="3" s="1"/>
  <c r="H525" i="3"/>
  <c r="J524" i="3"/>
  <c r="K524" i="3" s="1"/>
  <c r="H524" i="3"/>
  <c r="J523" i="3"/>
  <c r="K523" i="3" s="1"/>
  <c r="H523" i="3"/>
  <c r="J522" i="3"/>
  <c r="K522" i="3" s="1"/>
  <c r="I521" i="3"/>
  <c r="I520" i="3" s="1"/>
  <c r="G521" i="3"/>
  <c r="G520" i="3" s="1"/>
  <c r="F521" i="3"/>
  <c r="F520" i="3" s="1"/>
  <c r="E521" i="3"/>
  <c r="E520" i="3" s="1"/>
  <c r="J518" i="3"/>
  <c r="K518" i="3" s="1"/>
  <c r="J517" i="3"/>
  <c r="K517" i="3" s="1"/>
  <c r="H517" i="3"/>
  <c r="I516" i="3"/>
  <c r="I515" i="3" s="1"/>
  <c r="G516" i="3"/>
  <c r="H516" i="3" s="1"/>
  <c r="F516" i="3"/>
  <c r="F515" i="3" s="1"/>
  <c r="K514" i="3"/>
  <c r="H514" i="3"/>
  <c r="K513" i="3"/>
  <c r="H513" i="3"/>
  <c r="K512" i="3"/>
  <c r="H512" i="3"/>
  <c r="K511" i="3"/>
  <c r="H511" i="3"/>
  <c r="J510" i="3"/>
  <c r="I510" i="3"/>
  <c r="I509" i="3" s="1"/>
  <c r="G510" i="3"/>
  <c r="F510" i="3"/>
  <c r="F509" i="3" s="1"/>
  <c r="E510" i="3"/>
  <c r="E509" i="3" s="1"/>
  <c r="J507" i="3"/>
  <c r="K507" i="3" s="1"/>
  <c r="J506" i="3"/>
  <c r="K505" i="3"/>
  <c r="K504" i="3"/>
  <c r="I503" i="3"/>
  <c r="G503" i="3"/>
  <c r="F503" i="3"/>
  <c r="E503" i="3"/>
  <c r="J502" i="3"/>
  <c r="K502" i="3" s="1"/>
  <c r="J501" i="3"/>
  <c r="K501" i="3" s="1"/>
  <c r="J500" i="3"/>
  <c r="K500" i="3" s="1"/>
  <c r="J499" i="3"/>
  <c r="K499" i="3" s="1"/>
  <c r="J498" i="3"/>
  <c r="K498" i="3" s="1"/>
  <c r="H498" i="3"/>
  <c r="J497" i="3"/>
  <c r="K497" i="3" s="1"/>
  <c r="H497" i="3"/>
  <c r="J496" i="3"/>
  <c r="K496" i="3" s="1"/>
  <c r="H496" i="3"/>
  <c r="J495" i="3"/>
  <c r="K495" i="3" s="1"/>
  <c r="H495" i="3"/>
  <c r="J494" i="3"/>
  <c r="H494" i="3"/>
  <c r="J493" i="3"/>
  <c r="K493" i="3" s="1"/>
  <c r="H493" i="3"/>
  <c r="K492" i="3"/>
  <c r="H492" i="3"/>
  <c r="J491" i="3"/>
  <c r="K491" i="3" s="1"/>
  <c r="H491" i="3"/>
  <c r="K490" i="3"/>
  <c r="H490" i="3"/>
  <c r="J489" i="3"/>
  <c r="K489" i="3" s="1"/>
  <c r="H489" i="3"/>
  <c r="I488" i="3"/>
  <c r="I487" i="3" s="1"/>
  <c r="G488" i="3"/>
  <c r="F488" i="3"/>
  <c r="E488" i="3"/>
  <c r="K485" i="3"/>
  <c r="H485" i="3"/>
  <c r="K484" i="3"/>
  <c r="H484" i="3"/>
  <c r="K483" i="3"/>
  <c r="H483" i="3"/>
  <c r="J482" i="3"/>
  <c r="K482" i="3" s="1"/>
  <c r="H482" i="3"/>
  <c r="K481" i="3"/>
  <c r="H481" i="3"/>
  <c r="K480" i="3"/>
  <c r="H480" i="3"/>
  <c r="J479" i="3"/>
  <c r="K479" i="3" s="1"/>
  <c r="H479" i="3"/>
  <c r="J478" i="3"/>
  <c r="K478" i="3" s="1"/>
  <c r="H478" i="3"/>
  <c r="K477" i="3"/>
  <c r="H477" i="3"/>
  <c r="K476" i="3"/>
  <c r="H476" i="3"/>
  <c r="I475" i="3"/>
  <c r="I474" i="3" s="1"/>
  <c r="G475" i="3"/>
  <c r="F475" i="3"/>
  <c r="F474" i="3" s="1"/>
  <c r="E475" i="3"/>
  <c r="E474" i="3" s="1"/>
  <c r="K472" i="3"/>
  <c r="H472" i="3"/>
  <c r="J471" i="3"/>
  <c r="J470" i="3" s="1"/>
  <c r="H471" i="3"/>
  <c r="I470" i="3"/>
  <c r="I469" i="3" s="1"/>
  <c r="G470" i="3"/>
  <c r="F470" i="3"/>
  <c r="F469" i="3" s="1"/>
  <c r="E470" i="3"/>
  <c r="E469" i="3" s="1"/>
  <c r="K467" i="3"/>
  <c r="H467" i="3"/>
  <c r="J466" i="3"/>
  <c r="F466" i="3"/>
  <c r="K465" i="3"/>
  <c r="H465" i="3"/>
  <c r="J464" i="3"/>
  <c r="K464" i="3" s="1"/>
  <c r="J463" i="3"/>
  <c r="K463" i="3" s="1"/>
  <c r="H463" i="3"/>
  <c r="J462" i="3"/>
  <c r="K462" i="3" s="1"/>
  <c r="K461" i="3"/>
  <c r="H461" i="3"/>
  <c r="K460" i="3"/>
  <c r="H460" i="3"/>
  <c r="I459" i="3"/>
  <c r="I458" i="3" s="1"/>
  <c r="G459" i="3"/>
  <c r="F459" i="3"/>
  <c r="E459" i="3"/>
  <c r="E458" i="3" s="1"/>
  <c r="J456" i="3"/>
  <c r="J455" i="3" s="1"/>
  <c r="J454" i="3" s="1"/>
  <c r="H456" i="3"/>
  <c r="I455" i="3"/>
  <c r="I454" i="3" s="1"/>
  <c r="G455" i="3"/>
  <c r="F455" i="3"/>
  <c r="F454" i="3" s="1"/>
  <c r="E455" i="3"/>
  <c r="E454" i="3" s="1"/>
  <c r="J452" i="3"/>
  <c r="J451" i="3" s="1"/>
  <c r="H452" i="3"/>
  <c r="I451" i="3"/>
  <c r="I450" i="3" s="1"/>
  <c r="G451" i="3"/>
  <c r="F451" i="3"/>
  <c r="F450" i="3" s="1"/>
  <c r="E451" i="3"/>
  <c r="E450" i="3" s="1"/>
  <c r="K449" i="3"/>
  <c r="H449" i="3"/>
  <c r="K448" i="3"/>
  <c r="H448" i="3"/>
  <c r="K447" i="3"/>
  <c r="H447" i="3"/>
  <c r="K446" i="3"/>
  <c r="H446" i="3"/>
  <c r="K445" i="3"/>
  <c r="H445" i="3"/>
  <c r="K444" i="3"/>
  <c r="H444" i="3"/>
  <c r="K443" i="3"/>
  <c r="H443" i="3"/>
  <c r="K442" i="3"/>
  <c r="H442" i="3"/>
  <c r="K441" i="3"/>
  <c r="H441" i="3"/>
  <c r="J440" i="3"/>
  <c r="K440" i="3" s="1"/>
  <c r="H440" i="3"/>
  <c r="K439" i="3"/>
  <c r="H439" i="3"/>
  <c r="I438" i="3"/>
  <c r="I436" i="3" s="1"/>
  <c r="G438" i="3"/>
  <c r="F438" i="3"/>
  <c r="F436" i="3" s="1"/>
  <c r="E438" i="3"/>
  <c r="E436" i="3" s="1"/>
  <c r="G436" i="3"/>
  <c r="K435" i="3"/>
  <c r="H435" i="3"/>
  <c r="K434" i="3"/>
  <c r="H434" i="3"/>
  <c r="K433" i="3"/>
  <c r="H433" i="3"/>
  <c r="K432" i="3"/>
  <c r="H432" i="3"/>
  <c r="J431" i="3"/>
  <c r="J428" i="3" s="1"/>
  <c r="K430" i="3"/>
  <c r="H430" i="3"/>
  <c r="K429" i="3"/>
  <c r="H429" i="3"/>
  <c r="G428" i="3"/>
  <c r="G424" i="3" s="1"/>
  <c r="F428" i="3"/>
  <c r="K427" i="3"/>
  <c r="K426" i="3"/>
  <c r="J425" i="3"/>
  <c r="G425" i="3"/>
  <c r="F425" i="3"/>
  <c r="J422" i="3"/>
  <c r="K422" i="3" s="1"/>
  <c r="J421" i="3"/>
  <c r="I420" i="3"/>
  <c r="G420" i="3"/>
  <c r="F420" i="3"/>
  <c r="E420" i="3"/>
  <c r="J419" i="3"/>
  <c r="K419" i="3" s="1"/>
  <c r="J418" i="3"/>
  <c r="K418" i="3" s="1"/>
  <c r="J417" i="3"/>
  <c r="K417" i="3" s="1"/>
  <c r="J416" i="3"/>
  <c r="J415" i="3"/>
  <c r="K414" i="3"/>
  <c r="H414" i="3"/>
  <c r="I413" i="3"/>
  <c r="G413" i="3"/>
  <c r="F413" i="3"/>
  <c r="E413" i="3"/>
  <c r="K411" i="3"/>
  <c r="K410" i="3"/>
  <c r="K409" i="3"/>
  <c r="K408" i="3"/>
  <c r="K406" i="3"/>
  <c r="J405" i="3"/>
  <c r="K405" i="3" s="1"/>
  <c r="J404" i="3"/>
  <c r="K404" i="3" s="1"/>
  <c r="J403" i="3"/>
  <c r="K403" i="3" s="1"/>
  <c r="H403" i="3"/>
  <c r="J402" i="3"/>
  <c r="K402" i="3" s="1"/>
  <c r="H402" i="3"/>
  <c r="J401" i="3"/>
  <c r="K401" i="3" s="1"/>
  <c r="H401" i="3"/>
  <c r="J400" i="3"/>
  <c r="K400" i="3" s="1"/>
  <c r="H400" i="3"/>
  <c r="J399" i="3"/>
  <c r="I398" i="3"/>
  <c r="I397" i="3" s="1"/>
  <c r="G398" i="3"/>
  <c r="G397" i="3" s="1"/>
  <c r="F398" i="3"/>
  <c r="F397" i="3" s="1"/>
  <c r="E398" i="3"/>
  <c r="E397" i="3" s="1"/>
  <c r="K395" i="3"/>
  <c r="J394" i="3"/>
  <c r="K394" i="3" s="1"/>
  <c r="J393" i="3"/>
  <c r="K393" i="3" s="1"/>
  <c r="J392" i="3"/>
  <c r="K392" i="3" s="1"/>
  <c r="J391" i="3"/>
  <c r="H391" i="3"/>
  <c r="F391" i="3"/>
  <c r="J390" i="3"/>
  <c r="K390" i="3" s="1"/>
  <c r="J389" i="3"/>
  <c r="K389" i="3" s="1"/>
  <c r="J388" i="3"/>
  <c r="H388" i="3"/>
  <c r="F388" i="3"/>
  <c r="J387" i="3"/>
  <c r="K387" i="3" s="1"/>
  <c r="H387" i="3"/>
  <c r="J386" i="3"/>
  <c r="K386" i="3" s="1"/>
  <c r="H386" i="3"/>
  <c r="J385" i="3"/>
  <c r="K385" i="3" s="1"/>
  <c r="H385" i="3"/>
  <c r="J384" i="3"/>
  <c r="K384" i="3" s="1"/>
  <c r="H384" i="3"/>
  <c r="J383" i="3"/>
  <c r="J382" i="3"/>
  <c r="H382" i="3"/>
  <c r="I381" i="3"/>
  <c r="I380" i="3" s="1"/>
  <c r="G381" i="3"/>
  <c r="E381" i="3"/>
  <c r="E380" i="3" s="1"/>
  <c r="K378" i="3"/>
  <c r="J377" i="3"/>
  <c r="K377" i="3" s="1"/>
  <c r="J376" i="3"/>
  <c r="K376" i="3" s="1"/>
  <c r="J375" i="3"/>
  <c r="H375" i="3"/>
  <c r="K374" i="3"/>
  <c r="H374" i="3"/>
  <c r="K373" i="3"/>
  <c r="H373" i="3"/>
  <c r="K372" i="3"/>
  <c r="H372" i="3"/>
  <c r="I371" i="3"/>
  <c r="I370" i="3" s="1"/>
  <c r="G371" i="3"/>
  <c r="F371" i="3"/>
  <c r="F370" i="3" s="1"/>
  <c r="E371" i="3"/>
  <c r="E370" i="3" s="1"/>
  <c r="K369" i="3"/>
  <c r="H369" i="3"/>
  <c r="K368" i="3"/>
  <c r="H368" i="3"/>
  <c r="K367" i="3"/>
  <c r="H367" i="3"/>
  <c r="K366" i="3"/>
  <c r="H366" i="3"/>
  <c r="K364" i="3"/>
  <c r="H364" i="3"/>
  <c r="J363" i="3"/>
  <c r="J362" i="3" s="1"/>
  <c r="H363" i="3"/>
  <c r="I362" i="3"/>
  <c r="I361" i="3" s="1"/>
  <c r="G362" i="3"/>
  <c r="G361" i="3" s="1"/>
  <c r="F362" i="3"/>
  <c r="F361" i="3" s="1"/>
  <c r="E362" i="3"/>
  <c r="E361" i="3" s="1"/>
  <c r="J359" i="3"/>
  <c r="J357" i="3" s="1"/>
  <c r="H358" i="3"/>
  <c r="I357" i="3"/>
  <c r="G357" i="3"/>
  <c r="F357" i="3"/>
  <c r="E357" i="3"/>
  <c r="J355" i="3"/>
  <c r="J354" i="3" s="1"/>
  <c r="I354" i="3"/>
  <c r="G354" i="3"/>
  <c r="F354" i="3"/>
  <c r="F353" i="3" s="1"/>
  <c r="E354" i="3"/>
  <c r="K352" i="3"/>
  <c r="H352" i="3"/>
  <c r="J351" i="3"/>
  <c r="K351" i="3" s="1"/>
  <c r="H351" i="3"/>
  <c r="K350" i="3"/>
  <c r="H350" i="3"/>
  <c r="J349" i="3"/>
  <c r="K349" i="3" s="1"/>
  <c r="H349" i="3"/>
  <c r="I348" i="3"/>
  <c r="G348" i="3"/>
  <c r="F348" i="3"/>
  <c r="E348" i="3"/>
  <c r="J347" i="3"/>
  <c r="K347" i="3" s="1"/>
  <c r="H347" i="3"/>
  <c r="J346" i="3"/>
  <c r="K346" i="3" s="1"/>
  <c r="H346" i="3"/>
  <c r="J345" i="3"/>
  <c r="H345" i="3"/>
  <c r="J344" i="3"/>
  <c r="K344" i="3" s="1"/>
  <c r="H344" i="3"/>
  <c r="K343" i="3"/>
  <c r="H343" i="3"/>
  <c r="I342" i="3"/>
  <c r="G342" i="3"/>
  <c r="F342" i="3"/>
  <c r="E342" i="3"/>
  <c r="K340" i="3"/>
  <c r="H340" i="3"/>
  <c r="J339" i="3"/>
  <c r="K338" i="3"/>
  <c r="J337" i="3"/>
  <c r="K337" i="3" s="1"/>
  <c r="H337" i="3"/>
  <c r="J336" i="3"/>
  <c r="H336" i="3"/>
  <c r="J335" i="3"/>
  <c r="K335" i="3" s="1"/>
  <c r="H335" i="3"/>
  <c r="I334" i="3"/>
  <c r="G334" i="3"/>
  <c r="F334" i="3"/>
  <c r="E334" i="3"/>
  <c r="J333" i="3"/>
  <c r="K333" i="3" s="1"/>
  <c r="K332" i="3"/>
  <c r="H332" i="3"/>
  <c r="J331" i="3"/>
  <c r="K331" i="3" s="1"/>
  <c r="H331" i="3"/>
  <c r="K330" i="3"/>
  <c r="H330" i="3"/>
  <c r="K329" i="3"/>
  <c r="H329" i="3"/>
  <c r="J328" i="3"/>
  <c r="H328" i="3"/>
  <c r="I327" i="3"/>
  <c r="G327" i="3"/>
  <c r="F327" i="3"/>
  <c r="E327" i="3"/>
  <c r="J324" i="3"/>
  <c r="H324" i="3"/>
  <c r="I323" i="3"/>
  <c r="I322" i="3" s="1"/>
  <c r="G323" i="3"/>
  <c r="H323" i="3" s="1"/>
  <c r="F323" i="3"/>
  <c r="F322" i="3" s="1"/>
  <c r="J320" i="3"/>
  <c r="J319" i="3" s="1"/>
  <c r="H320" i="3"/>
  <c r="I319" i="3"/>
  <c r="I318" i="3" s="1"/>
  <c r="G319" i="3"/>
  <c r="G318" i="3" s="1"/>
  <c r="F319" i="3"/>
  <c r="F318" i="3" s="1"/>
  <c r="E319" i="3"/>
  <c r="E318" i="3" s="1"/>
  <c r="K317" i="3"/>
  <c r="H317" i="3"/>
  <c r="K316" i="3"/>
  <c r="H316" i="3"/>
  <c r="K315" i="3"/>
  <c r="H315" i="3"/>
  <c r="K314" i="3"/>
  <c r="H314" i="3"/>
  <c r="J312" i="3"/>
  <c r="J311" i="3"/>
  <c r="K311" i="3" s="1"/>
  <c r="I310" i="3"/>
  <c r="I309" i="3" s="1"/>
  <c r="G310" i="3"/>
  <c r="G309" i="3" s="1"/>
  <c r="F310" i="3"/>
  <c r="F309" i="3" s="1"/>
  <c r="E310" i="3"/>
  <c r="E309" i="3" s="1"/>
  <c r="J307" i="3"/>
  <c r="J306" i="3" s="1"/>
  <c r="J305" i="3" s="1"/>
  <c r="H307" i="3"/>
  <c r="I306" i="3"/>
  <c r="I305" i="3" s="1"/>
  <c r="G306" i="3"/>
  <c r="F306" i="3"/>
  <c r="E306" i="3"/>
  <c r="E305" i="3" s="1"/>
  <c r="J304" i="3"/>
  <c r="J303" i="3" s="1"/>
  <c r="I303" i="3"/>
  <c r="I299" i="3" s="1"/>
  <c r="G303" i="3"/>
  <c r="F303" i="3"/>
  <c r="F299" i="3" s="1"/>
  <c r="E303" i="3"/>
  <c r="E299" i="3" s="1"/>
  <c r="K302" i="3"/>
  <c r="K301" i="3"/>
  <c r="G300" i="3"/>
  <c r="J297" i="3"/>
  <c r="K297" i="3" s="1"/>
  <c r="H297" i="3"/>
  <c r="I296" i="3"/>
  <c r="I295" i="3" s="1"/>
  <c r="G296" i="3"/>
  <c r="F296" i="3"/>
  <c r="F295" i="3" s="1"/>
  <c r="E296" i="3"/>
  <c r="E295" i="3" s="1"/>
  <c r="J292" i="3"/>
  <c r="K292" i="3" s="1"/>
  <c r="H292" i="3"/>
  <c r="J291" i="3"/>
  <c r="K291" i="3" s="1"/>
  <c r="H291" i="3"/>
  <c r="I290" i="3"/>
  <c r="I289" i="3" s="1"/>
  <c r="G290" i="3"/>
  <c r="G289" i="3" s="1"/>
  <c r="F290" i="3"/>
  <c r="F289" i="3" s="1"/>
  <c r="E290" i="3"/>
  <c r="E289" i="3" s="1"/>
  <c r="J287" i="3"/>
  <c r="K287" i="3" s="1"/>
  <c r="H287" i="3"/>
  <c r="J286" i="3"/>
  <c r="K286" i="3" s="1"/>
  <c r="H286" i="3"/>
  <c r="J285" i="3"/>
  <c r="H285" i="3"/>
  <c r="I284" i="3"/>
  <c r="I283" i="3" s="1"/>
  <c r="G284" i="3"/>
  <c r="F284" i="3"/>
  <c r="F283" i="3" s="1"/>
  <c r="E284" i="3"/>
  <c r="E283" i="3" s="1"/>
  <c r="J280" i="3"/>
  <c r="K280" i="3" s="1"/>
  <c r="J279" i="3"/>
  <c r="G278" i="3"/>
  <c r="G277" i="3" s="1"/>
  <c r="G276" i="3" s="1"/>
  <c r="F278" i="3"/>
  <c r="F277" i="3" s="1"/>
  <c r="F276" i="3" s="1"/>
  <c r="J274" i="3"/>
  <c r="K274" i="3" s="1"/>
  <c r="H274" i="3"/>
  <c r="I273" i="3"/>
  <c r="I272" i="3" s="1"/>
  <c r="I271" i="3" s="1"/>
  <c r="G273" i="3"/>
  <c r="F273" i="3"/>
  <c r="F272" i="3" s="1"/>
  <c r="F271" i="3" s="1"/>
  <c r="E273" i="3"/>
  <c r="E272" i="3" s="1"/>
  <c r="E271" i="3"/>
  <c r="K270" i="3"/>
  <c r="H270" i="3"/>
  <c r="J269" i="3"/>
  <c r="K269" i="3" s="1"/>
  <c r="H269" i="3"/>
  <c r="J268" i="3"/>
  <c r="K268" i="3" s="1"/>
  <c r="H268" i="3"/>
  <c r="J267" i="3"/>
  <c r="K267" i="3" s="1"/>
  <c r="H267" i="3"/>
  <c r="J266" i="3"/>
  <c r="K266" i="3" s="1"/>
  <c r="H266" i="3"/>
  <c r="J265" i="3"/>
  <c r="K265" i="3" s="1"/>
  <c r="H265" i="3"/>
  <c r="J264" i="3"/>
  <c r="K264" i="3" s="1"/>
  <c r="H264" i="3"/>
  <c r="I263" i="3"/>
  <c r="G263" i="3"/>
  <c r="F263" i="3"/>
  <c r="E263" i="3"/>
  <c r="K262" i="3"/>
  <c r="H262" i="3"/>
  <c r="K261" i="3"/>
  <c r="H261" i="3"/>
  <c r="J260" i="3"/>
  <c r="K260" i="3" s="1"/>
  <c r="J259" i="3"/>
  <c r="K259" i="3" s="1"/>
  <c r="H259" i="3"/>
  <c r="J258" i="3"/>
  <c r="K258" i="3" s="1"/>
  <c r="H258" i="3"/>
  <c r="J257" i="3"/>
  <c r="K257" i="3" s="1"/>
  <c r="H257" i="3"/>
  <c r="J256" i="3"/>
  <c r="K256" i="3" s="1"/>
  <c r="H256" i="3"/>
  <c r="J255" i="3"/>
  <c r="K255" i="3" s="1"/>
  <c r="J254" i="3"/>
  <c r="K254" i="3" s="1"/>
  <c r="H254" i="3"/>
  <c r="J253" i="3"/>
  <c r="K253" i="3" s="1"/>
  <c r="H253" i="3"/>
  <c r="J252" i="3"/>
  <c r="K252" i="3" s="1"/>
  <c r="H252" i="3"/>
  <c r="J251" i="3"/>
  <c r="K251" i="3" s="1"/>
  <c r="H251" i="3"/>
  <c r="J250" i="3"/>
  <c r="H250" i="3"/>
  <c r="J249" i="3"/>
  <c r="K249" i="3" s="1"/>
  <c r="H249" i="3"/>
  <c r="J248" i="3"/>
  <c r="K248" i="3" s="1"/>
  <c r="H248" i="3"/>
  <c r="J247" i="3"/>
  <c r="K247" i="3" s="1"/>
  <c r="H247" i="3"/>
  <c r="J246" i="3"/>
  <c r="K246" i="3" s="1"/>
  <c r="H246" i="3"/>
  <c r="K245" i="3"/>
  <c r="J245" i="3"/>
  <c r="H245" i="3"/>
  <c r="J244" i="3"/>
  <c r="H244" i="3"/>
  <c r="J243" i="3"/>
  <c r="K243" i="3" s="1"/>
  <c r="H243" i="3"/>
  <c r="K242" i="3"/>
  <c r="H242" i="3"/>
  <c r="I241" i="3"/>
  <c r="G241" i="3"/>
  <c r="F241" i="3"/>
  <c r="E241" i="3"/>
  <c r="J238" i="3"/>
  <c r="J237" i="3" s="1"/>
  <c r="H238" i="3"/>
  <c r="I237" i="3"/>
  <c r="I236" i="3" s="1"/>
  <c r="G237" i="3"/>
  <c r="H237" i="3" s="1"/>
  <c r="F237" i="3"/>
  <c r="F236" i="3" s="1"/>
  <c r="E237" i="3"/>
  <c r="E236" i="3" s="1"/>
  <c r="J234" i="3"/>
  <c r="K234" i="3" s="1"/>
  <c r="I233" i="3"/>
  <c r="I232" i="3" s="1"/>
  <c r="G233" i="3"/>
  <c r="G232" i="3" s="1"/>
  <c r="F233" i="3"/>
  <c r="F232" i="3" s="1"/>
  <c r="E233" i="3"/>
  <c r="E232" i="3" s="1"/>
  <c r="J230" i="3"/>
  <c r="K230" i="3" s="1"/>
  <c r="H230" i="3"/>
  <c r="J229" i="3"/>
  <c r="K229" i="3" s="1"/>
  <c r="H229" i="3"/>
  <c r="I228" i="3"/>
  <c r="I227" i="3" s="1"/>
  <c r="G228" i="3"/>
  <c r="G227" i="3" s="1"/>
  <c r="F228" i="3"/>
  <c r="F227" i="3" s="1"/>
  <c r="E228" i="3"/>
  <c r="E227" i="3" s="1"/>
  <c r="J225" i="3"/>
  <c r="K225" i="3" s="1"/>
  <c r="H225" i="3"/>
  <c r="J224" i="3"/>
  <c r="K224" i="3" s="1"/>
  <c r="H224" i="3"/>
  <c r="I223" i="3"/>
  <c r="I222" i="3" s="1"/>
  <c r="G223" i="3"/>
  <c r="G222" i="3" s="1"/>
  <c r="F223" i="3"/>
  <c r="F222" i="3" s="1"/>
  <c r="E223" i="3"/>
  <c r="J221" i="3"/>
  <c r="J220" i="3"/>
  <c r="I219" i="3"/>
  <c r="G219" i="3"/>
  <c r="F219" i="3"/>
  <c r="E219" i="3"/>
  <c r="J218" i="3"/>
  <c r="J217" i="3"/>
  <c r="J216" i="3"/>
  <c r="J215" i="3"/>
  <c r="K215" i="3" s="1"/>
  <c r="H215" i="3"/>
  <c r="K214" i="3"/>
  <c r="J213" i="3"/>
  <c r="K213" i="3" s="1"/>
  <c r="H213" i="3"/>
  <c r="K212" i="3"/>
  <c r="J211" i="3"/>
  <c r="H211" i="3"/>
  <c r="J210" i="3"/>
  <c r="K210" i="3" s="1"/>
  <c r="H210" i="3"/>
  <c r="K209" i="3"/>
  <c r="H209" i="3"/>
  <c r="K208" i="3"/>
  <c r="K207" i="3"/>
  <c r="K206" i="3"/>
  <c r="I205" i="3"/>
  <c r="G205" i="3"/>
  <c r="F205" i="3"/>
  <c r="E205" i="3"/>
  <c r="J202" i="3"/>
  <c r="K202" i="3" s="1"/>
  <c r="H202" i="3"/>
  <c r="J201" i="3"/>
  <c r="H201" i="3"/>
  <c r="I200" i="3"/>
  <c r="I199" i="3" s="1"/>
  <c r="G200" i="3"/>
  <c r="F200" i="3"/>
  <c r="F199" i="3" s="1"/>
  <c r="E200" i="3"/>
  <c r="E199" i="3" s="1"/>
  <c r="K196" i="3"/>
  <c r="H196" i="3"/>
  <c r="K195" i="3"/>
  <c r="H195" i="3"/>
  <c r="J194" i="3"/>
  <c r="H194" i="3"/>
  <c r="K193" i="3"/>
  <c r="H193" i="3"/>
  <c r="I192" i="3"/>
  <c r="I191" i="3" s="1"/>
  <c r="G192" i="3"/>
  <c r="F192" i="3"/>
  <c r="F191" i="3" s="1"/>
  <c r="E192" i="3"/>
  <c r="E191" i="3" s="1"/>
  <c r="K190" i="3"/>
  <c r="H190" i="3"/>
  <c r="K189" i="3"/>
  <c r="H189" i="3"/>
  <c r="K188" i="3"/>
  <c r="H188" i="3"/>
  <c r="K187" i="3"/>
  <c r="H187" i="3"/>
  <c r="K186" i="3"/>
  <c r="H186" i="3"/>
  <c r="G185" i="3"/>
  <c r="H185" i="3" s="1"/>
  <c r="F185" i="3"/>
  <c r="K185" i="3" s="1"/>
  <c r="K184" i="3"/>
  <c r="H184" i="3"/>
  <c r="K183" i="3"/>
  <c r="H183" i="3"/>
  <c r="K182" i="3"/>
  <c r="H182" i="3"/>
  <c r="J181" i="3"/>
  <c r="J180" i="3" s="1"/>
  <c r="I181" i="3"/>
  <c r="I180" i="3" s="1"/>
  <c r="G181" i="3"/>
  <c r="F181" i="3"/>
  <c r="E181" i="3"/>
  <c r="E180" i="3" s="1"/>
  <c r="K178" i="3"/>
  <c r="H178" i="3"/>
  <c r="J177" i="3"/>
  <c r="F177" i="3"/>
  <c r="J176" i="3"/>
  <c r="J175" i="3" s="1"/>
  <c r="H176" i="3"/>
  <c r="I175" i="3"/>
  <c r="I174" i="3" s="1"/>
  <c r="I173" i="3" s="1"/>
  <c r="G175" i="3"/>
  <c r="G174" i="3" s="1"/>
  <c r="F175" i="3"/>
  <c r="E175" i="3"/>
  <c r="E174" i="3" s="1"/>
  <c r="E173" i="3" s="1"/>
  <c r="K172" i="3"/>
  <c r="H172" i="3"/>
  <c r="K171" i="3"/>
  <c r="H171" i="3"/>
  <c r="K170" i="3"/>
  <c r="H170" i="3"/>
  <c r="K169" i="3"/>
  <c r="H169" i="3"/>
  <c r="K167" i="3"/>
  <c r="H167" i="3"/>
  <c r="J166" i="3"/>
  <c r="K166" i="3" s="1"/>
  <c r="H166" i="3"/>
  <c r="K165" i="3"/>
  <c r="H165" i="3"/>
  <c r="J164" i="3"/>
  <c r="K164" i="3" s="1"/>
  <c r="H164" i="3"/>
  <c r="J163" i="3"/>
  <c r="H163" i="3"/>
  <c r="I162" i="3"/>
  <c r="I161" i="3" s="1"/>
  <c r="G162" i="3"/>
  <c r="G161" i="3" s="1"/>
  <c r="F162" i="3"/>
  <c r="F161" i="3" s="1"/>
  <c r="E162" i="3"/>
  <c r="E161" i="3" s="1"/>
  <c r="J159" i="3"/>
  <c r="J158" i="3" s="1"/>
  <c r="H159" i="3"/>
  <c r="I158" i="3"/>
  <c r="I157" i="3" s="1"/>
  <c r="G158" i="3"/>
  <c r="G157" i="3" s="1"/>
  <c r="F158" i="3"/>
  <c r="F157" i="3" s="1"/>
  <c r="E158" i="3"/>
  <c r="E157" i="3" s="1"/>
  <c r="J155" i="3"/>
  <c r="K155" i="3" s="1"/>
  <c r="H155" i="3"/>
  <c r="J154" i="3"/>
  <c r="K154" i="3" s="1"/>
  <c r="H154" i="3"/>
  <c r="J153" i="3"/>
  <c r="H153" i="3"/>
  <c r="I152" i="3"/>
  <c r="I151" i="3" s="1"/>
  <c r="G152" i="3"/>
  <c r="G151" i="3" s="1"/>
  <c r="F152" i="3"/>
  <c r="F151" i="3" s="1"/>
  <c r="E152" i="3"/>
  <c r="E151" i="3" s="1"/>
  <c r="J149" i="3"/>
  <c r="K149" i="3" s="1"/>
  <c r="H149" i="3"/>
  <c r="J148" i="3"/>
  <c r="K148" i="3" s="1"/>
  <c r="H148" i="3"/>
  <c r="I147" i="3"/>
  <c r="G147" i="3"/>
  <c r="F147" i="3"/>
  <c r="E147" i="3"/>
  <c r="J146" i="3"/>
  <c r="K146" i="3" s="1"/>
  <c r="H146" i="3"/>
  <c r="J145" i="3"/>
  <c r="K145" i="3" s="1"/>
  <c r="H145" i="3"/>
  <c r="J144" i="3"/>
  <c r="K144" i="3" s="1"/>
  <c r="H144" i="3"/>
  <c r="J143" i="3"/>
  <c r="K143" i="3" s="1"/>
  <c r="H143" i="3"/>
  <c r="I142" i="3"/>
  <c r="I141" i="3" s="1"/>
  <c r="I140" i="3" s="1"/>
  <c r="G142" i="3"/>
  <c r="F142" i="3"/>
  <c r="E142" i="3"/>
  <c r="E141" i="3" s="1"/>
  <c r="E140" i="3" s="1"/>
  <c r="J138" i="3"/>
  <c r="K138" i="3" s="1"/>
  <c r="H138" i="3"/>
  <c r="I137" i="3"/>
  <c r="I136" i="3" s="1"/>
  <c r="G137" i="3"/>
  <c r="F137" i="3"/>
  <c r="F136" i="3" s="1"/>
  <c r="E137" i="3"/>
  <c r="E136" i="3" s="1"/>
  <c r="K134" i="3"/>
  <c r="H134" i="3"/>
  <c r="J133" i="3"/>
  <c r="J130" i="3" s="1"/>
  <c r="H133" i="3"/>
  <c r="K132" i="3"/>
  <c r="H132" i="3"/>
  <c r="K131" i="3"/>
  <c r="H131" i="3"/>
  <c r="I130" i="3"/>
  <c r="I129" i="3" s="1"/>
  <c r="G130" i="3"/>
  <c r="G129" i="3" s="1"/>
  <c r="F130" i="3"/>
  <c r="F129" i="3" s="1"/>
  <c r="E130" i="3"/>
  <c r="E129" i="3" s="1"/>
  <c r="J126" i="3"/>
  <c r="K126" i="3" s="1"/>
  <c r="H126" i="3"/>
  <c r="I125" i="3"/>
  <c r="J125" i="3" s="1"/>
  <c r="K125" i="3" s="1"/>
  <c r="H125" i="3"/>
  <c r="J124" i="3"/>
  <c r="K124" i="3" s="1"/>
  <c r="H124" i="3"/>
  <c r="G123" i="3"/>
  <c r="F123" i="3"/>
  <c r="F122" i="3" s="1"/>
  <c r="E123" i="3"/>
  <c r="E122" i="3" s="1"/>
  <c r="K121" i="3"/>
  <c r="H121" i="3"/>
  <c r="K120" i="3"/>
  <c r="H120" i="3"/>
  <c r="K119" i="3"/>
  <c r="H119" i="3"/>
  <c r="K118" i="3"/>
  <c r="H118" i="3"/>
  <c r="J117" i="3"/>
  <c r="K117" i="3" s="1"/>
  <c r="H117" i="3"/>
  <c r="J116" i="3"/>
  <c r="H116" i="3"/>
  <c r="G115" i="3"/>
  <c r="J115" i="3" s="1"/>
  <c r="F115" i="3"/>
  <c r="F108" i="3" s="1"/>
  <c r="J114" i="3"/>
  <c r="K114" i="3" s="1"/>
  <c r="H114" i="3"/>
  <c r="J113" i="3"/>
  <c r="K113" i="3" s="1"/>
  <c r="J112" i="3"/>
  <c r="K112" i="3" s="1"/>
  <c r="H112" i="3"/>
  <c r="J111" i="3"/>
  <c r="K111" i="3" s="1"/>
  <c r="J110" i="3"/>
  <c r="K110" i="3" s="1"/>
  <c r="J109" i="3"/>
  <c r="K109" i="3" s="1"/>
  <c r="I108" i="3"/>
  <c r="E108" i="3"/>
  <c r="J107" i="3"/>
  <c r="K107" i="3" s="1"/>
  <c r="J106" i="3"/>
  <c r="J105" i="3"/>
  <c r="K105" i="3" s="1"/>
  <c r="H105" i="3"/>
  <c r="J104" i="3"/>
  <c r="K104" i="3" s="1"/>
  <c r="J103" i="3"/>
  <c r="K103" i="3" s="1"/>
  <c r="H103" i="3"/>
  <c r="I102" i="3"/>
  <c r="G102" i="3"/>
  <c r="F102" i="3"/>
  <c r="E102" i="3"/>
  <c r="K99" i="3"/>
  <c r="H99" i="3"/>
  <c r="J98" i="3"/>
  <c r="K98" i="3" s="1"/>
  <c r="H98" i="3"/>
  <c r="I97" i="3"/>
  <c r="I96" i="3" s="1"/>
  <c r="G97" i="3"/>
  <c r="F97" i="3"/>
  <c r="F96" i="3" s="1"/>
  <c r="E97" i="3"/>
  <c r="E96" i="3" s="1"/>
  <c r="K94" i="3"/>
  <c r="H94" i="3"/>
  <c r="K93" i="3"/>
  <c r="H93" i="3"/>
  <c r="J92" i="3"/>
  <c r="K92" i="3" s="1"/>
  <c r="H92" i="3"/>
  <c r="K91" i="3"/>
  <c r="H91" i="3"/>
  <c r="K90" i="3"/>
  <c r="H90" i="3"/>
  <c r="J89" i="3"/>
  <c r="J88" i="3" s="1"/>
  <c r="I89" i="3"/>
  <c r="I88" i="3" s="1"/>
  <c r="G89" i="3"/>
  <c r="G88" i="3" s="1"/>
  <c r="F89" i="3"/>
  <c r="F88" i="3" s="1"/>
  <c r="E89" i="3"/>
  <c r="E88" i="3" s="1"/>
  <c r="J87" i="3"/>
  <c r="K87" i="3" s="1"/>
  <c r="J86" i="3"/>
  <c r="K86" i="3" s="1"/>
  <c r="H86" i="3"/>
  <c r="J85" i="3"/>
  <c r="K84" i="3"/>
  <c r="H84" i="3"/>
  <c r="I83" i="3"/>
  <c r="G83" i="3"/>
  <c r="F83" i="3"/>
  <c r="E83" i="3"/>
  <c r="K82" i="3"/>
  <c r="H82" i="3"/>
  <c r="J81" i="3"/>
  <c r="I81" i="3"/>
  <c r="G81" i="3"/>
  <c r="F81" i="3"/>
  <c r="F80" i="3" s="1"/>
  <c r="E81" i="3"/>
  <c r="J79" i="3"/>
  <c r="K79" i="3" s="1"/>
  <c r="H79" i="3"/>
  <c r="K78" i="3"/>
  <c r="H78" i="3"/>
  <c r="I77" i="3"/>
  <c r="G77" i="3"/>
  <c r="F77" i="3"/>
  <c r="E77" i="3"/>
  <c r="K76" i="3"/>
  <c r="H76" i="3"/>
  <c r="K75" i="3"/>
  <c r="H75" i="3"/>
  <c r="J74" i="3"/>
  <c r="K74" i="3" s="1"/>
  <c r="H74" i="3"/>
  <c r="J73" i="3"/>
  <c r="K73" i="3" s="1"/>
  <c r="J72" i="3"/>
  <c r="K72" i="3" s="1"/>
  <c r="H72" i="3"/>
  <c r="K71" i="3"/>
  <c r="H71" i="3"/>
  <c r="K70" i="3"/>
  <c r="H70" i="3"/>
  <c r="J69" i="3"/>
  <c r="H69" i="3"/>
  <c r="I68" i="3"/>
  <c r="G68" i="3"/>
  <c r="F68" i="3"/>
  <c r="E68" i="3"/>
  <c r="K65" i="3"/>
  <c r="H65" i="3"/>
  <c r="K64" i="3"/>
  <c r="H64" i="3"/>
  <c r="K63" i="3"/>
  <c r="H63" i="3"/>
  <c r="K62" i="3"/>
  <c r="H62" i="3"/>
  <c r="K61" i="3"/>
  <c r="H61" i="3"/>
  <c r="K60" i="3"/>
  <c r="H60" i="3"/>
  <c r="K59" i="3"/>
  <c r="H59" i="3"/>
  <c r="J58" i="3"/>
  <c r="K58" i="3" s="1"/>
  <c r="J57" i="3"/>
  <c r="K57" i="3" s="1"/>
  <c r="I56" i="3"/>
  <c r="G56" i="3"/>
  <c r="F56" i="3"/>
  <c r="E56" i="3"/>
  <c r="J55" i="3"/>
  <c r="K55" i="3" s="1"/>
  <c r="J54" i="3"/>
  <c r="K54" i="3" s="1"/>
  <c r="K53" i="3"/>
  <c r="I52" i="3"/>
  <c r="G52" i="3"/>
  <c r="F52" i="3"/>
  <c r="E52" i="3"/>
  <c r="J48" i="3"/>
  <c r="J47" i="3" s="1"/>
  <c r="H48" i="3"/>
  <c r="I47" i="3"/>
  <c r="I46" i="3" s="1"/>
  <c r="I45" i="3" s="1"/>
  <c r="G47" i="3"/>
  <c r="H47" i="3" s="1"/>
  <c r="F47" i="3"/>
  <c r="F46" i="3" s="1"/>
  <c r="F45" i="3" s="1"/>
  <c r="E47" i="3"/>
  <c r="E46" i="3"/>
  <c r="E45" i="3" s="1"/>
  <c r="J43" i="3"/>
  <c r="K43" i="3" s="1"/>
  <c r="H43" i="3"/>
  <c r="J42" i="3"/>
  <c r="K42" i="3" s="1"/>
  <c r="H42" i="3"/>
  <c r="I41" i="3"/>
  <c r="I40" i="3" s="1"/>
  <c r="I39" i="3" s="1"/>
  <c r="G41" i="3"/>
  <c r="F41" i="3"/>
  <c r="F40" i="3" s="1"/>
  <c r="F39" i="3" s="1"/>
  <c r="E41" i="3"/>
  <c r="E40" i="3" s="1"/>
  <c r="E39" i="3" s="1"/>
  <c r="J37" i="3"/>
  <c r="K37" i="3" s="1"/>
  <c r="K36" i="3"/>
  <c r="H36" i="3"/>
  <c r="J35" i="3"/>
  <c r="J33" i="3" s="1"/>
  <c r="H35" i="3"/>
  <c r="F35" i="3"/>
  <c r="F33" i="3" s="1"/>
  <c r="F32" i="3" s="1"/>
  <c r="K34" i="3"/>
  <c r="H34" i="3"/>
  <c r="I33" i="3"/>
  <c r="I32" i="3" s="1"/>
  <c r="G33" i="3"/>
  <c r="G32" i="3" s="1"/>
  <c r="E33" i="3"/>
  <c r="K31" i="3"/>
  <c r="H31" i="3"/>
  <c r="F30" i="3"/>
  <c r="K29" i="3"/>
  <c r="H29" i="3"/>
  <c r="K28" i="3"/>
  <c r="H28" i="3"/>
  <c r="K27" i="3"/>
  <c r="H27" i="3"/>
  <c r="J26" i="3"/>
  <c r="K26" i="3" s="1"/>
  <c r="H26" i="3"/>
  <c r="I25" i="3"/>
  <c r="I24" i="3" s="1"/>
  <c r="G25" i="3"/>
  <c r="G24" i="3" s="1"/>
  <c r="F25" i="3"/>
  <c r="F24" i="3" s="1"/>
  <c r="E25" i="3"/>
  <c r="E24" i="3" s="1"/>
  <c r="J22" i="3"/>
  <c r="K22" i="3" s="1"/>
  <c r="J21" i="3"/>
  <c r="K21" i="3" s="1"/>
  <c r="J20" i="3"/>
  <c r="K20" i="3" s="1"/>
  <c r="H20" i="3"/>
  <c r="J19" i="3"/>
  <c r="K19" i="3" s="1"/>
  <c r="H19" i="3"/>
  <c r="K18" i="3"/>
  <c r="H18" i="3"/>
  <c r="I17" i="3"/>
  <c r="I16" i="3" s="1"/>
  <c r="G17" i="3"/>
  <c r="G16" i="3" s="1"/>
  <c r="F17" i="3"/>
  <c r="F16" i="3" s="1"/>
  <c r="E17" i="3"/>
  <c r="E16" i="3" s="1"/>
  <c r="K15" i="3"/>
  <c r="H15" i="3"/>
  <c r="F14" i="3"/>
  <c r="J13" i="3"/>
  <c r="K13" i="3" s="1"/>
  <c r="H13" i="3"/>
  <c r="G12" i="3"/>
  <c r="H12" i="3" s="1"/>
  <c r="J11" i="3"/>
  <c r="H11" i="3"/>
  <c r="I10" i="3"/>
  <c r="I9" i="3" s="1"/>
  <c r="F10" i="3"/>
  <c r="E10" i="3"/>
  <c r="J334" i="3" l="1"/>
  <c r="K334" i="3" s="1"/>
  <c r="E80" i="3"/>
  <c r="F174" i="3"/>
  <c r="F173" i="3" s="1"/>
  <c r="G236" i="3"/>
  <c r="H451" i="3"/>
  <c r="H579" i="3"/>
  <c r="H223" i="3"/>
  <c r="J25" i="3"/>
  <c r="F381" i="3"/>
  <c r="F380" i="3" s="1"/>
  <c r="H342" i="3"/>
  <c r="G341" i="3"/>
  <c r="F51" i="3"/>
  <c r="F50" i="3" s="1"/>
  <c r="I353" i="3"/>
  <c r="E412" i="3"/>
  <c r="E360" i="3" s="1"/>
  <c r="H123" i="3"/>
  <c r="K176" i="3"/>
  <c r="J398" i="3"/>
  <c r="F412" i="3"/>
  <c r="F360" i="3" s="1"/>
  <c r="H459" i="3"/>
  <c r="J620" i="3"/>
  <c r="K620" i="3" s="1"/>
  <c r="I123" i="3"/>
  <c r="I122" i="3" s="1"/>
  <c r="K181" i="3"/>
  <c r="E204" i="3"/>
  <c r="E487" i="3"/>
  <c r="E468" i="3" s="1"/>
  <c r="G67" i="3"/>
  <c r="H174" i="3"/>
  <c r="F204" i="3"/>
  <c r="K306" i="3"/>
  <c r="H327" i="3"/>
  <c r="F487" i="3"/>
  <c r="F468" i="3" s="1"/>
  <c r="J12" i="3"/>
  <c r="K12" i="3" s="1"/>
  <c r="H102" i="3"/>
  <c r="K115" i="3"/>
  <c r="H273" i="3"/>
  <c r="K452" i="3"/>
  <c r="E634" i="3"/>
  <c r="H33" i="3"/>
  <c r="H97" i="3"/>
  <c r="E128" i="3"/>
  <c r="H263" i="3"/>
  <c r="H319" i="3"/>
  <c r="E326" i="3"/>
  <c r="K388" i="3"/>
  <c r="K428" i="3"/>
  <c r="K431" i="3"/>
  <c r="H586" i="3"/>
  <c r="J615" i="3"/>
  <c r="J614" i="3" s="1"/>
  <c r="K614" i="3" s="1"/>
  <c r="H83" i="3"/>
  <c r="F128" i="3"/>
  <c r="K362" i="3"/>
  <c r="K391" i="3"/>
  <c r="H398" i="3"/>
  <c r="J420" i="3"/>
  <c r="K420" i="3" s="1"/>
  <c r="J424" i="3"/>
  <c r="K455" i="3"/>
  <c r="H510" i="3"/>
  <c r="H552" i="3"/>
  <c r="J570" i="3"/>
  <c r="J569" i="3" s="1"/>
  <c r="J327" i="3"/>
  <c r="K327" i="3" s="1"/>
  <c r="E341" i="3"/>
  <c r="H341" i="3" s="1"/>
  <c r="G353" i="3"/>
  <c r="G602" i="3"/>
  <c r="I602" i="3"/>
  <c r="H130" i="3"/>
  <c r="E150" i="3"/>
  <c r="H318" i="3"/>
  <c r="F150" i="3"/>
  <c r="K471" i="3"/>
  <c r="K159" i="3"/>
  <c r="J290" i="3"/>
  <c r="J289" i="3" s="1"/>
  <c r="K289" i="3" s="1"/>
  <c r="H559" i="3"/>
  <c r="K622" i="3"/>
  <c r="K25" i="3"/>
  <c r="G46" i="3"/>
  <c r="G45" i="3" s="1"/>
  <c r="J68" i="3"/>
  <c r="K68" i="3" s="1"/>
  <c r="G108" i="3"/>
  <c r="G101" i="3" s="1"/>
  <c r="K130" i="3"/>
  <c r="F141" i="3"/>
  <c r="F140" i="3" s="1"/>
  <c r="I341" i="3"/>
  <c r="G458" i="3"/>
  <c r="I468" i="3"/>
  <c r="K510" i="3"/>
  <c r="F532" i="3"/>
  <c r="F508" i="3" s="1"/>
  <c r="K569" i="3"/>
  <c r="J579" i="3"/>
  <c r="K579" i="3" s="1"/>
  <c r="H608" i="3"/>
  <c r="H41" i="3"/>
  <c r="J83" i="3"/>
  <c r="J80" i="3" s="1"/>
  <c r="K80" i="3" s="1"/>
  <c r="I101" i="3"/>
  <c r="H147" i="3"/>
  <c r="H158" i="3"/>
  <c r="H161" i="3"/>
  <c r="E222" i="3"/>
  <c r="H222" i="3" s="1"/>
  <c r="J223" i="3"/>
  <c r="J222" i="3" s="1"/>
  <c r="K222" i="3" s="1"/>
  <c r="J233" i="3"/>
  <c r="K233" i="3" s="1"/>
  <c r="H290" i="3"/>
  <c r="F341" i="3"/>
  <c r="H362" i="3"/>
  <c r="H438" i="3"/>
  <c r="G450" i="3"/>
  <c r="H450" i="3" s="1"/>
  <c r="H488" i="3"/>
  <c r="G551" i="3"/>
  <c r="H16" i="3"/>
  <c r="H157" i="3"/>
  <c r="I80" i="3"/>
  <c r="F634" i="3"/>
  <c r="I204" i="3"/>
  <c r="K363" i="3"/>
  <c r="F424" i="3"/>
  <c r="H470" i="3"/>
  <c r="H17" i="3"/>
  <c r="F9" i="3"/>
  <c r="F8" i="3" s="1"/>
  <c r="H25" i="3"/>
  <c r="K47" i="3"/>
  <c r="I51" i="3"/>
  <c r="I50" i="3" s="1"/>
  <c r="F67" i="3"/>
  <c r="G80" i="3"/>
  <c r="K85" i="3"/>
  <c r="H89" i="3"/>
  <c r="F180" i="3"/>
  <c r="K180" i="3" s="1"/>
  <c r="I179" i="3"/>
  <c r="F240" i="3"/>
  <c r="F198" i="3" s="1"/>
  <c r="J263" i="3"/>
  <c r="K263" i="3" s="1"/>
  <c r="G412" i="3"/>
  <c r="G469" i="3"/>
  <c r="H469" i="3" s="1"/>
  <c r="H521" i="3"/>
  <c r="K544" i="3"/>
  <c r="E602" i="3"/>
  <c r="H615" i="3"/>
  <c r="K303" i="3"/>
  <c r="J299" i="3"/>
  <c r="K299" i="3" s="1"/>
  <c r="K290" i="3"/>
  <c r="H458" i="3"/>
  <c r="E568" i="3"/>
  <c r="K615" i="3"/>
  <c r="I8" i="3"/>
  <c r="H24" i="3"/>
  <c r="E32" i="3"/>
  <c r="H32" i="3" s="1"/>
  <c r="K48" i="3"/>
  <c r="E51" i="3"/>
  <c r="E50" i="3" s="1"/>
  <c r="J56" i="3"/>
  <c r="K56" i="3" s="1"/>
  <c r="H88" i="3"/>
  <c r="E101" i="3"/>
  <c r="H101" i="3" s="1"/>
  <c r="K133" i="3"/>
  <c r="I128" i="3"/>
  <c r="H152" i="3"/>
  <c r="K238" i="3"/>
  <c r="E282" i="3"/>
  <c r="H289" i="3"/>
  <c r="H296" i="3"/>
  <c r="K304" i="3"/>
  <c r="K320" i="3"/>
  <c r="G326" i="3"/>
  <c r="H326" i="3" s="1"/>
  <c r="K328" i="3"/>
  <c r="H334" i="3"/>
  <c r="K336" i="3"/>
  <c r="H397" i="3"/>
  <c r="K421" i="3"/>
  <c r="J509" i="3"/>
  <c r="K509" i="3" s="1"/>
  <c r="G515" i="3"/>
  <c r="H515" i="3" s="1"/>
  <c r="J521" i="3"/>
  <c r="K521" i="3" s="1"/>
  <c r="K560" i="3"/>
  <c r="K592" i="3"/>
  <c r="K595" i="3"/>
  <c r="H607" i="3"/>
  <c r="H614" i="3"/>
  <c r="H620" i="3"/>
  <c r="I282" i="3"/>
  <c r="E631" i="3"/>
  <c r="J10" i="3"/>
  <c r="K10" i="3" s="1"/>
  <c r="I67" i="3"/>
  <c r="F101" i="3"/>
  <c r="F66" i="3" s="1"/>
  <c r="H151" i="3"/>
  <c r="I150" i="3"/>
  <c r="H162" i="3"/>
  <c r="E179" i="3"/>
  <c r="J219" i="3"/>
  <c r="I240" i="3"/>
  <c r="J284" i="3"/>
  <c r="J283" i="3" s="1"/>
  <c r="K283" i="3" s="1"/>
  <c r="F305" i="3"/>
  <c r="K305" i="3" s="1"/>
  <c r="J310" i="3"/>
  <c r="K310" i="3" s="1"/>
  <c r="I326" i="3"/>
  <c r="I294" i="3" s="1"/>
  <c r="H348" i="3"/>
  <c r="E353" i="3"/>
  <c r="J353" i="3"/>
  <c r="H361" i="3"/>
  <c r="H371" i="3"/>
  <c r="K424" i="3"/>
  <c r="H455" i="3"/>
  <c r="H475" i="3"/>
  <c r="G487" i="3"/>
  <c r="E508" i="3"/>
  <c r="H520" i="3"/>
  <c r="H578" i="3"/>
  <c r="H595" i="3"/>
  <c r="G51" i="3"/>
  <c r="G50" i="3" s="1"/>
  <c r="E67" i="3"/>
  <c r="J102" i="3"/>
  <c r="K102" i="3" s="1"/>
  <c r="J147" i="3"/>
  <c r="K147" i="3" s="1"/>
  <c r="G173" i="3"/>
  <c r="H173" i="3" s="1"/>
  <c r="K175" i="3"/>
  <c r="E240" i="3"/>
  <c r="G299" i="3"/>
  <c r="F326" i="3"/>
  <c r="I412" i="3"/>
  <c r="I360" i="3" s="1"/>
  <c r="F458" i="3"/>
  <c r="F423" i="3" s="1"/>
  <c r="J459" i="3"/>
  <c r="K459" i="3" s="1"/>
  <c r="K543" i="3"/>
  <c r="H558" i="3"/>
  <c r="K158" i="3"/>
  <c r="J157" i="3"/>
  <c r="K157" i="3" s="1"/>
  <c r="J108" i="3"/>
  <c r="J32" i="3"/>
  <c r="K32" i="3" s="1"/>
  <c r="K33" i="3"/>
  <c r="K88" i="3"/>
  <c r="H45" i="3"/>
  <c r="K223" i="3"/>
  <c r="F631" i="3"/>
  <c r="K35" i="3"/>
  <c r="J41" i="3"/>
  <c r="H46" i="3"/>
  <c r="J52" i="3"/>
  <c r="K52" i="3" s="1"/>
  <c r="H68" i="3"/>
  <c r="K69" i="3"/>
  <c r="K89" i="3"/>
  <c r="J97" i="3"/>
  <c r="K106" i="3"/>
  <c r="H108" i="3"/>
  <c r="J123" i="3"/>
  <c r="J137" i="3"/>
  <c r="J142" i="3"/>
  <c r="G150" i="3"/>
  <c r="J174" i="3"/>
  <c r="H227" i="3"/>
  <c r="H228" i="3"/>
  <c r="K312" i="3"/>
  <c r="G562" i="3"/>
  <c r="H562" i="3" s="1"/>
  <c r="H563" i="3"/>
  <c r="H192" i="3"/>
  <c r="J200" i="3"/>
  <c r="K201" i="3"/>
  <c r="H241" i="3"/>
  <c r="G240" i="3"/>
  <c r="J278" i="3"/>
  <c r="K279" i="3"/>
  <c r="H284" i="3"/>
  <c r="F602" i="3"/>
  <c r="G10" i="3"/>
  <c r="J17" i="3"/>
  <c r="K194" i="3"/>
  <c r="J192" i="3"/>
  <c r="K11" i="3"/>
  <c r="J24" i="3"/>
  <c r="K24" i="3" s="1"/>
  <c r="G40" i="3"/>
  <c r="J46" i="3"/>
  <c r="H77" i="3"/>
  <c r="G96" i="3"/>
  <c r="H96" i="3" s="1"/>
  <c r="H115" i="3"/>
  <c r="G122" i="3"/>
  <c r="H122" i="3" s="1"/>
  <c r="H129" i="3"/>
  <c r="J152" i="3"/>
  <c r="K153" i="3"/>
  <c r="H181" i="3"/>
  <c r="G180" i="3"/>
  <c r="G191" i="3"/>
  <c r="H191" i="3" s="1"/>
  <c r="J228" i="3"/>
  <c r="H236" i="3"/>
  <c r="I634" i="3"/>
  <c r="J162" i="3"/>
  <c r="G199" i="3"/>
  <c r="H200" i="3"/>
  <c r="H306" i="3"/>
  <c r="I631" i="3"/>
  <c r="E9" i="3"/>
  <c r="E8" i="3" s="1"/>
  <c r="J77" i="3"/>
  <c r="J129" i="3"/>
  <c r="H137" i="3"/>
  <c r="G136" i="3"/>
  <c r="H136" i="3" s="1"/>
  <c r="H142" i="3"/>
  <c r="G141" i="3"/>
  <c r="K163" i="3"/>
  <c r="H175" i="3"/>
  <c r="H205" i="3"/>
  <c r="G204" i="3"/>
  <c r="K211" i="3"/>
  <c r="J205" i="3"/>
  <c r="J236" i="3"/>
  <c r="K236" i="3" s="1"/>
  <c r="K237" i="3"/>
  <c r="F282" i="3"/>
  <c r="J273" i="3"/>
  <c r="G283" i="3"/>
  <c r="J296" i="3"/>
  <c r="G305" i="3"/>
  <c r="H305" i="3" s="1"/>
  <c r="G322" i="3"/>
  <c r="H322" i="3" s="1"/>
  <c r="I423" i="3"/>
  <c r="I508" i="3"/>
  <c r="E550" i="3"/>
  <c r="J574" i="3"/>
  <c r="K575" i="3"/>
  <c r="H585" i="3"/>
  <c r="K591" i="3"/>
  <c r="H619" i="3"/>
  <c r="G618" i="3"/>
  <c r="H618" i="3" s="1"/>
  <c r="K319" i="3"/>
  <c r="J318" i="3"/>
  <c r="K318" i="3" s="1"/>
  <c r="J381" i="3"/>
  <c r="K382" i="3"/>
  <c r="J488" i="3"/>
  <c r="K494" i="3"/>
  <c r="J608" i="3"/>
  <c r="K612" i="3"/>
  <c r="G272" i="3"/>
  <c r="K285" i="3"/>
  <c r="G295" i="3"/>
  <c r="K307" i="3"/>
  <c r="J323" i="3"/>
  <c r="K324" i="3"/>
  <c r="J342" i="3"/>
  <c r="K345" i="3"/>
  <c r="J371" i="3"/>
  <c r="K454" i="3"/>
  <c r="J469" i="3"/>
  <c r="K470" i="3"/>
  <c r="I550" i="3"/>
  <c r="K552" i="3"/>
  <c r="J586" i="3"/>
  <c r="H592" i="3"/>
  <c r="J413" i="3"/>
  <c r="K413" i="3" s="1"/>
  <c r="K415" i="3"/>
  <c r="H436" i="3"/>
  <c r="E423" i="3"/>
  <c r="J450" i="3"/>
  <c r="K450" i="3" s="1"/>
  <c r="K451" i="3"/>
  <c r="K559" i="3"/>
  <c r="G573" i="3"/>
  <c r="H574" i="3"/>
  <c r="H602" i="3"/>
  <c r="J604" i="3"/>
  <c r="K605" i="3"/>
  <c r="J241" i="3"/>
  <c r="G380" i="3"/>
  <c r="H380" i="3" s="1"/>
  <c r="H381" i="3"/>
  <c r="K398" i="3"/>
  <c r="J397" i="3"/>
  <c r="K397" i="3" s="1"/>
  <c r="J503" i="3"/>
  <c r="K503" i="3" s="1"/>
  <c r="K506" i="3"/>
  <c r="G532" i="3"/>
  <c r="H532" i="3" s="1"/>
  <c r="H533" i="3"/>
  <c r="F550" i="3"/>
  <c r="F568" i="3"/>
  <c r="I568" i="3"/>
  <c r="J348" i="3"/>
  <c r="K348" i="3" s="1"/>
  <c r="J361" i="3"/>
  <c r="G370" i="3"/>
  <c r="H370" i="3" s="1"/>
  <c r="G454" i="3"/>
  <c r="H454" i="3" s="1"/>
  <c r="J475" i="3"/>
  <c r="G509" i="3"/>
  <c r="J516" i="3"/>
  <c r="J520" i="3"/>
  <c r="K520" i="3" s="1"/>
  <c r="G591" i="3"/>
  <c r="H591" i="3" s="1"/>
  <c r="J619" i="3"/>
  <c r="K375" i="3"/>
  <c r="K456" i="3"/>
  <c r="G474" i="3"/>
  <c r="H474" i="3" s="1"/>
  <c r="J533" i="3"/>
  <c r="J551" i="3"/>
  <c r="J558" i="3"/>
  <c r="K558" i="3" s="1"/>
  <c r="J563" i="3"/>
  <c r="J578" i="3"/>
  <c r="K578" i="3" s="1"/>
  <c r="K593" i="3"/>
  <c r="J438" i="3"/>
  <c r="G634" i="3" l="1"/>
  <c r="H634" i="3" s="1"/>
  <c r="K570" i="3"/>
  <c r="H80" i="3"/>
  <c r="H204" i="3"/>
  <c r="H240" i="3"/>
  <c r="J326" i="3"/>
  <c r="K326" i="3" s="1"/>
  <c r="K83" i="3"/>
  <c r="E66" i="3"/>
  <c r="H487" i="3"/>
  <c r="H150" i="3"/>
  <c r="F179" i="3"/>
  <c r="F629" i="3" s="1"/>
  <c r="J309" i="3"/>
  <c r="K309" i="3" s="1"/>
  <c r="J9" i="3"/>
  <c r="G550" i="3"/>
  <c r="I66" i="3"/>
  <c r="H551" i="3"/>
  <c r="H67" i="3"/>
  <c r="E294" i="3"/>
  <c r="F294" i="3"/>
  <c r="F637" i="3"/>
  <c r="E198" i="3"/>
  <c r="E629" i="3" s="1"/>
  <c r="I198" i="3"/>
  <c r="I629" i="3" s="1"/>
  <c r="J51" i="3"/>
  <c r="K51" i="3" s="1"/>
  <c r="J458" i="3"/>
  <c r="K458" i="3" s="1"/>
  <c r="H550" i="3"/>
  <c r="K284" i="3"/>
  <c r="J232" i="3"/>
  <c r="K232" i="3" s="1"/>
  <c r="K475" i="3"/>
  <c r="J474" i="3"/>
  <c r="K474" i="3" s="1"/>
  <c r="K574" i="3"/>
  <c r="J573" i="3"/>
  <c r="K174" i="3"/>
  <c r="J173" i="3"/>
  <c r="K173" i="3" s="1"/>
  <c r="J50" i="3"/>
  <c r="K50" i="3" s="1"/>
  <c r="K469" i="3"/>
  <c r="K342" i="3"/>
  <c r="J341" i="3"/>
  <c r="K341" i="3" s="1"/>
  <c r="K296" i="3"/>
  <c r="J295" i="3"/>
  <c r="J204" i="3"/>
  <c r="K204" i="3" s="1"/>
  <c r="K205" i="3"/>
  <c r="K129" i="3"/>
  <c r="J151" i="3"/>
  <c r="K152" i="3"/>
  <c r="K46" i="3"/>
  <c r="J45" i="3"/>
  <c r="K45" i="3" s="1"/>
  <c r="G128" i="3"/>
  <c r="H128" i="3" s="1"/>
  <c r="K278" i="3"/>
  <c r="J277" i="3"/>
  <c r="K97" i="3"/>
  <c r="J96" i="3"/>
  <c r="K96" i="3" s="1"/>
  <c r="K9" i="3"/>
  <c r="K619" i="3"/>
  <c r="J618" i="3"/>
  <c r="K618" i="3" s="1"/>
  <c r="K361" i="3"/>
  <c r="G568" i="3"/>
  <c r="H568" i="3" s="1"/>
  <c r="H573" i="3"/>
  <c r="H272" i="3"/>
  <c r="G271" i="3"/>
  <c r="H271" i="3" s="1"/>
  <c r="K17" i="3"/>
  <c r="J16" i="3"/>
  <c r="K16" i="3" s="1"/>
  <c r="K142" i="3"/>
  <c r="J141" i="3"/>
  <c r="J40" i="3"/>
  <c r="K41" i="3"/>
  <c r="K608" i="3"/>
  <c r="J607" i="3"/>
  <c r="K607" i="3" s="1"/>
  <c r="K563" i="3"/>
  <c r="J562" i="3"/>
  <c r="K562" i="3" s="1"/>
  <c r="K551" i="3"/>
  <c r="K516" i="3"/>
  <c r="J515" i="3"/>
  <c r="J412" i="3"/>
  <c r="K412" i="3" s="1"/>
  <c r="J585" i="3"/>
  <c r="K585" i="3" s="1"/>
  <c r="K586" i="3"/>
  <c r="K488" i="3"/>
  <c r="J487" i="3"/>
  <c r="K487" i="3" s="1"/>
  <c r="H283" i="3"/>
  <c r="G282" i="3"/>
  <c r="H282" i="3" s="1"/>
  <c r="J634" i="3"/>
  <c r="K634" i="3" s="1"/>
  <c r="K77" i="3"/>
  <c r="K228" i="3"/>
  <c r="J227" i="3"/>
  <c r="K227" i="3" s="1"/>
  <c r="H40" i="3"/>
  <c r="G39" i="3"/>
  <c r="H39" i="3" s="1"/>
  <c r="J631" i="3"/>
  <c r="K631" i="3" s="1"/>
  <c r="J436" i="3"/>
  <c r="K438" i="3"/>
  <c r="K533" i="3"/>
  <c r="J532" i="3"/>
  <c r="K532" i="3" s="1"/>
  <c r="G360" i="3"/>
  <c r="H360" i="3" s="1"/>
  <c r="H509" i="3"/>
  <c r="G508" i="3"/>
  <c r="H508" i="3" s="1"/>
  <c r="J240" i="3"/>
  <c r="K240" i="3" s="1"/>
  <c r="K241" i="3"/>
  <c r="G423" i="3"/>
  <c r="H423" i="3" s="1"/>
  <c r="J322" i="3"/>
  <c r="K322" i="3" s="1"/>
  <c r="K323" i="3"/>
  <c r="K273" i="3"/>
  <c r="J272" i="3"/>
  <c r="H141" i="3"/>
  <c r="G140" i="3"/>
  <c r="H140" i="3" s="1"/>
  <c r="G198" i="3"/>
  <c r="H199" i="3"/>
  <c r="G631" i="3"/>
  <c r="H10" i="3"/>
  <c r="G9" i="3"/>
  <c r="K137" i="3"/>
  <c r="J136" i="3"/>
  <c r="K136" i="3" s="1"/>
  <c r="G66" i="3"/>
  <c r="H66" i="3" s="1"/>
  <c r="K381" i="3"/>
  <c r="J380" i="3"/>
  <c r="K380" i="3" s="1"/>
  <c r="J161" i="3"/>
  <c r="K161" i="3" s="1"/>
  <c r="K162" i="3"/>
  <c r="G179" i="3"/>
  <c r="H179" i="3" s="1"/>
  <c r="H180" i="3"/>
  <c r="K123" i="3"/>
  <c r="J122" i="3"/>
  <c r="K122" i="3" s="1"/>
  <c r="J67" i="3"/>
  <c r="G468" i="3"/>
  <c r="H468" i="3" s="1"/>
  <c r="K604" i="3"/>
  <c r="J603" i="3"/>
  <c r="J370" i="3"/>
  <c r="K370" i="3" s="1"/>
  <c r="K371" i="3"/>
  <c r="H295" i="3"/>
  <c r="G294" i="3"/>
  <c r="J191" i="3"/>
  <c r="K192" i="3"/>
  <c r="K200" i="3"/>
  <c r="J199" i="3"/>
  <c r="J282" i="3"/>
  <c r="K282" i="3" s="1"/>
  <c r="K108" i="3"/>
  <c r="J101" i="3"/>
  <c r="K101" i="3" s="1"/>
  <c r="H294" i="3" l="1"/>
  <c r="H198" i="3"/>
  <c r="J8" i="3"/>
  <c r="J550" i="3"/>
  <c r="K550" i="3" s="1"/>
  <c r="J39" i="3"/>
  <c r="K39" i="3" s="1"/>
  <c r="K40" i="3"/>
  <c r="J140" i="3"/>
  <c r="K140" i="3" s="1"/>
  <c r="K141" i="3"/>
  <c r="K8" i="3"/>
  <c r="J128" i="3"/>
  <c r="K128" i="3" s="1"/>
  <c r="K67" i="3"/>
  <c r="J66" i="3"/>
  <c r="K66" i="3" s="1"/>
  <c r="J568" i="3"/>
  <c r="K568" i="3" s="1"/>
  <c r="K573" i="3"/>
  <c r="K603" i="3"/>
  <c r="J602" i="3"/>
  <c r="K602" i="3" s="1"/>
  <c r="J271" i="3"/>
  <c r="K271" i="3" s="1"/>
  <c r="K272" i="3"/>
  <c r="K151" i="3"/>
  <c r="J150" i="3"/>
  <c r="K150" i="3" s="1"/>
  <c r="K436" i="3"/>
  <c r="J423" i="3"/>
  <c r="K423" i="3" s="1"/>
  <c r="K199" i="3"/>
  <c r="J198" i="3"/>
  <c r="K198" i="3" s="1"/>
  <c r="K515" i="3"/>
  <c r="J508" i="3"/>
  <c r="K508" i="3" s="1"/>
  <c r="J360" i="3"/>
  <c r="K360" i="3" s="1"/>
  <c r="J468" i="3"/>
  <c r="K468" i="3" s="1"/>
  <c r="G637" i="3"/>
  <c r="H637" i="3" s="1"/>
  <c r="H631" i="3"/>
  <c r="J276" i="3"/>
  <c r="K276" i="3" s="1"/>
  <c r="K277" i="3"/>
  <c r="K191" i="3"/>
  <c r="J179" i="3"/>
  <c r="K179" i="3" s="1"/>
  <c r="G8" i="3"/>
  <c r="H9" i="3"/>
  <c r="J294" i="3"/>
  <c r="K294" i="3" s="1"/>
  <c r="K295" i="3"/>
  <c r="J629" i="3" l="1"/>
  <c r="K629" i="3" s="1"/>
  <c r="G629" i="3"/>
  <c r="H629" i="3" s="1"/>
  <c r="H8" i="3"/>
  <c r="E50" i="2" l="1"/>
  <c r="E42" i="2"/>
  <c r="E33" i="2"/>
  <c r="E6" i="2"/>
  <c r="E72" i="2" l="1"/>
  <c r="D66" i="1" l="1"/>
  <c r="D118" i="1"/>
  <c r="D159" i="1"/>
  <c r="D14" i="1"/>
  <c r="D51" i="1" l="1"/>
  <c r="D30" i="1"/>
  <c r="D108" i="1"/>
  <c r="D55" i="1" l="1"/>
  <c r="D5" i="1" l="1"/>
  <c r="D33" i="1" l="1"/>
  <c r="D114" i="1" l="1"/>
  <c r="D61" i="1"/>
  <c r="D35" i="1"/>
  <c r="D161" i="1" l="1"/>
  <c r="E76" i="2" s="1"/>
</calcChain>
</file>

<file path=xl/sharedStrings.xml><?xml version="1.0" encoding="utf-8"?>
<sst xmlns="http://schemas.openxmlformats.org/spreadsheetml/2006/main" count="5909" uniqueCount="1351">
  <si>
    <t>w złotych</t>
  </si>
  <si>
    <t>Dział</t>
  </si>
  <si>
    <t>Rozdział</t>
  </si>
  <si>
    <t>Zadania inwestycyjne</t>
  </si>
  <si>
    <t>Jednostka realizująca zadanie/a inwestycyjne</t>
  </si>
  <si>
    <t>01004</t>
  </si>
  <si>
    <t>01042</t>
  </si>
  <si>
    <t>Rozbudowa drogi wojewódzkiej nr 856 Antoniów - Radomyśl nad Sanem - Dąbrowa Rzeczycka polegająca na budowie mostu w km 11 + 046 przez rz. Jodłówka wraz z rozbudową dojazdów oraz rozbiórką, budową i przebudową infrastruktury technicznej, budowli i urządzeń budowlanych w m. Żabno</t>
  </si>
  <si>
    <t>Podkarpacki Zarząd Dróg Wojewódzkich
 w Rzeszowie</t>
  </si>
  <si>
    <t>Przebudowa drogi wojewódzkiej Nr 881 Sokołów Młp. - Łańcut - Kańczuga - Pruchnik - Żurawica - budowa dwóch kładek dla pieszych na istniejących ciekach wodnych w km 18+250 w m. Czarna i w km 19+010 w m. Krzemienica oraz budowa odcinka chodnika od granicy pasa autostrady A4 do projektowanej kładki na cieku wodnym w km 19+010</t>
  </si>
  <si>
    <t>Rozbudowa drogi wojewódzkiej nr 989 Strzyżów - Lutcza od km ok. 7+574 do km ok. 7+832 wraz z budową mostu na Bonarowskim Potoku oraz rozbiórką, budową i przebudową niezbędnej infrastruktury technicznej, budowli i urządzeń budowlanych w m. Żyznów</t>
  </si>
  <si>
    <t>Regulacja stanów prawnych gruntów pod zadania inwestycyjne na sieci dróg wojewódzkich zarządzanych przez PZDW</t>
  </si>
  <si>
    <t>Zakup wraz z montażem elementów bezpieczeństwa ruchu i elementów chroniących użytkowników dróg (bariery energochłonne, ekrany zabezpieczające, znaki interaktywne, sygnalizacje świetlne) w ciągu dróg wojewódzkich administrowanych przez PZDW</t>
  </si>
  <si>
    <t>Budowa chodników i zatok postojowych w ciągu dróg wojewódzkich realizowana w oparciu o Umowy pomiędzy Województwem Podkarpackim a Jednostkami Samorządu Terytorialnego</t>
  </si>
  <si>
    <t>Przebudowy dróg wojewodzkich</t>
  </si>
  <si>
    <t>Budowa sygnalizacji świetlnej na skrzyżowaniu drogi wojewódzkiej Nr 866 Dachnów – Lubaczów – gr. Państwa z ul. Konopnickiej w m. Lubaczów</t>
  </si>
  <si>
    <t>Opracowanie dokumentacji technicznej na budowę budynku zaplecza technicznego – warsztatu na RDW Mielec</t>
  </si>
  <si>
    <t>Przebudowa wiaty stalowej garażowej trójstanowiskowej poprzez wykonanie wrót wjazdowych – opracowanie dokumentacji technicznej RDW Stalowa Wola</t>
  </si>
  <si>
    <t>Wykonanie budynku magazynowo – warsztatowego wraz z przyłączami oraz wykonanie odwodnienia terenu poprzez wykonanie kanalizacji deszczowej – wykonanie dokumentacji technicznej – RDW Stalowa Wola</t>
  </si>
  <si>
    <t>Zakupy inwestycyjne na potrzeby zimowego i bieżącego utrzymania dróg</t>
  </si>
  <si>
    <t>Zagospodarowanie terenu wokół rzeki Przyrwy przy ul. Lubelskiej w Rzeszowie w celu utworzenia miejsc postojowych na potrzeby Jednostek Organizacyjnych Samorządu Województwa</t>
  </si>
  <si>
    <t>Modernizacja infrastruktury sieciowej</t>
  </si>
  <si>
    <t xml:space="preserve">Modernizacja infrastruktury serwerowej </t>
  </si>
  <si>
    <t>Zabezpieczenie związane z podnoszeniem poziomu cyberbezpieczeństwa</t>
  </si>
  <si>
    <t xml:space="preserve">Pozostałe inwestycje niezbędne do prawidłowego funkcjonowania Urzędu i obsługi zadań realizowanych przez Urząd Marszałkowski Województwa Podkarpackiego </t>
  </si>
  <si>
    <t>zakup sprzętu komputerowego, urządzeń skanująco-drukujących i oprogramowania</t>
  </si>
  <si>
    <t xml:space="preserve">Zakup samochodów do celów służbowych (3 samochody osobowe)  </t>
  </si>
  <si>
    <t xml:space="preserve">Pozostałe zakupy inwestycyjne niezbędne do prawidłowego funkcjonowania Urzędu i obsługi zadań realizowanych przez Urząd Marszałkowski Województwa Podkarpackiego </t>
  </si>
  <si>
    <t xml:space="preserve">Budowa obiektu socjalnego w m. Ożanna - etap II </t>
  </si>
  <si>
    <t>Zaprojektowanie i wykonanie instalacji klimatyzacji w budynku RDW w Stalowej Woli</t>
  </si>
  <si>
    <t xml:space="preserve">ETAP I dostosowania budynku PZDW w Rzeszowie do zapewnienia dostępności osobom ze szczególnymi potrzebami </t>
  </si>
  <si>
    <t>Wdrożenie elektronicznego obiegu dokumentów oraz integracja EZD (Elektronicznego Zarządzania Dokumentacją) z centralnym systemem faktur elektronicznych i Zintegrowanym Systemem Informatycznym PZDW w Systemie Asseco Wapro</t>
  </si>
  <si>
    <t>Zakup sprzętu komputerowego i oprogramowania dla potrzeb PZDW</t>
  </si>
  <si>
    <t>Zakup dużych i trwałych elementów identyfikacji wizualnej województwa podkarpackiego</t>
  </si>
  <si>
    <t>Wpłata na Wojewódzki Fundusz Wsparcia Policji z przeznaczeniem na zakup sprzętu i wyposażenia specjalistycznego</t>
  </si>
  <si>
    <t>Wpłata na Fundusz Wsparcia Bieszczadzkiego Oddziału Straży Granicznej im. gen. bryg. Jana Tomasza Gorzechowskiego w Przemyślu z przeznaczeniem na zakup sprzętu i wyposażenia specjalistycznego</t>
  </si>
  <si>
    <t>Wpłata na Wojewódzki Fundusz Wsparcia Państwowej Straży Pożarnej  z przeznaczeniem na zakup sprzętu i wyposażenia specjalistycznego</t>
  </si>
  <si>
    <t>Zakup serwera szkolnej sieci komputerowej wraz z oprogramowaniem dla Medyczno - Społecznego Centrum Kształcenia Zawodowego i Ustawicznego w Rzeszowie</t>
  </si>
  <si>
    <t>Zakup zasobnika ciepłej wody użytkowej o poj. 500 l dla Medyczno- Społecznego Centrum Kształcenia Zawodowego i Ustawicznego w Rzeszowie</t>
  </si>
  <si>
    <t>Podkarpacki Zespół Placówek Wojewódzkich w Rzeszowie</t>
  </si>
  <si>
    <t>Modernizacja  i adaptacja pomieszczeń Kliniki Neurologii na potrzeby Kliniki Psychiatrii Ogólnej z utworzeniem Izby Przyjęć dla pacjentów psychiatrycznych</t>
  </si>
  <si>
    <t>E-usługi w Klinicznym Szpitalu Wojewódzkim Nr 1 im. Fryderyka Chopina w Rzeszowie</t>
  </si>
  <si>
    <t>Zakup pięciu aparatów do znieczuleń</t>
  </si>
  <si>
    <t>Rozszerzenie działalności Podkarpackiego Centrum Zdrowia Dziecka wraz z rozbudową Klinicznego Szpitala Wojewódzkiego Nr 2 im. Św. Jadwigi Królowej w Rzeszowie</t>
  </si>
  <si>
    <t>Przebudowa Izby przyjęć Dzieci poprzez adaptację pomieszczeń na potrzeby gabinetu lekarskiego (pediatrycznego) i sali obserwacyjnej dzieci</t>
  </si>
  <si>
    <t>Przebudowa i poprawa funkcjonalności kompleksu kuchennego w celu spełnienia wymogów sanitarnych i systemu HACCP wraz ze zmianą i optymalizacją procesu technologicznego przygotowania posiłków</t>
  </si>
  <si>
    <t>Modernizacja Kliniki  Kardiologii z Pododdziałem Ostrych Zespołów Wieńcowych w Klinicznym Szpitalu Wojewódzkim Nr 2 im. Św. Jadwigi Królowej w Rzeszowie</t>
  </si>
  <si>
    <t>Przebudowa Bloku Operacyjnego Ogólnego oraz przebudowa budynku B na potrzeby Pododdziału Chirurgii Naczyniowej w Klinice Kardiochirurgii w Klinicznym Szpitalu Wojewódzkim Nr 2 im. Św. Jadwigi Królowej w Rzeszowie</t>
  </si>
  <si>
    <t>E-usługi w Klinicznym Szpitalu Wojewódzkim Nr 2 im. Św. Jadwigi Królowej w Rzeszowie</t>
  </si>
  <si>
    <t>Zakup sprzętu i aparatury medycznej</t>
  </si>
  <si>
    <t>Reorganizacja Oddziału Chirurgicznego dla Dzieci</t>
  </si>
  <si>
    <t>Reorganizacja Oddziału Otolaryngologicznego z Pododdziałem Laryngologii Dziecięcej</t>
  </si>
  <si>
    <t>Modernizacja podczyszczalni ścieków w Wojewódzkim Szpitalu im. Św. Ojca Pio w Przemyślu</t>
  </si>
  <si>
    <t>Centrala VoIP wraz z telefonami VoIP i rozbudową infrastruktury telefonicznej</t>
  </si>
  <si>
    <t>Modernizacja i rozwój e-usług w ramach Podkarpackiego Systemu Informacji Medycznej (PSIM) w Wojewódzkim Szpitalu im. Św. Ojca Pio w Przemyślu</t>
  </si>
  <si>
    <t>Zakup aparatury i sprzętu medycznego</t>
  </si>
  <si>
    <t>Montaż systemu sygnalizacji pożaru oraz drzwi  ppoż. rozdzielających strefy ppoż. w budynkach Szpitala</t>
  </si>
  <si>
    <t>Wojewódzki Szpital Podkarpacki im. Jana Pawła II w Krośnie</t>
  </si>
  <si>
    <t>Zakup sprzętu i aparatury medycznej dla Wojewódzkiego Szpitala Podkarpackiego  im. Jana Pawła II w Krośnie</t>
  </si>
  <si>
    <t>Zakup optycznego tomografu koherentnego (OCT)</t>
  </si>
  <si>
    <t>Zakup tomografu komputerowego z adaptacją i dostosowaniem pomieszczeń</t>
  </si>
  <si>
    <t>Poprawa stanu technicznego obiektów użytkowych Szpitala poprzez wymianę dźwigów  windowych w budynkach Wojewódzkiego Szpitala w Tarnobrzegu</t>
  </si>
  <si>
    <t>Rozwój systemu ratownictwa medycznego poprzez budowę lądowiska dla Szpitalnego Oddziału Ratunkowego Wojewódzkiego Szpitala im. Zofii z Zamoyskich Tarnowskiej w Tarnobrzegu</t>
  </si>
  <si>
    <t>Zakup mammografu wraz z wyposażeniem na Potrzeby Zakładu Diagnostyki Obrazowej Wojewódzkiego szpitala w Tarnobrzegu</t>
  </si>
  <si>
    <t>Zakup kotła parowego  wraz z wyposażeniem i  montażem</t>
  </si>
  <si>
    <t>Zakup sterylizatora wraz z wyposażeniem (myjnią i wózkami transportowymi) na potrzeby Centralnej Sterylizatorni Wojewódzkiego Szpitala w Tarnobrzegu</t>
  </si>
  <si>
    <t>Modernizacja i rozbudowa budynku Nr 1</t>
  </si>
  <si>
    <t xml:space="preserve">Specjalistyczny Psychiatryczny Zespół Opieki Zdrowotnej im. prof. A.  Kępińskiego w Jarosławiu </t>
  </si>
  <si>
    <t>Modernizacja i rozbudowa budynku Nr 8</t>
  </si>
  <si>
    <t>Przebudowa budynku nr 2 wraz z zakupem pierwszego wyposażenia</t>
  </si>
  <si>
    <t>Wojewódzki Podkarpacki Szpital Psychiatryczny im. prof. Eugeniusza Brzezickiego w Żurawicy</t>
  </si>
  <si>
    <t>Modernizacja i rozwój e-usług w ramach Podkarpackiego Systemu Informacji Medycznej (PSIM) w Wojewódzkim Podkarpackim Szpitalu Psychiatrycznym im. prof. Eugeniusza Brzezickiego w Żurawicy</t>
  </si>
  <si>
    <t>Zakup sprzętu medycznego oraz platformianego wózka elektrycznego</t>
  </si>
  <si>
    <t>Wymiana dźwigu osobowego (windy) w budynku WZS w Rzeszowie</t>
  </si>
  <si>
    <t xml:space="preserve"> Wojewódzki Zespół Specjalistyczny w Rzeszowie </t>
  </si>
  <si>
    <t>E-usługi w Obwodzie Lecznictwa Kolejowego w Rzeszowie</t>
  </si>
  <si>
    <t xml:space="preserve">Podkarpackie Centrum Medyczne w Rzeszowie </t>
  </si>
  <si>
    <t>Zakup sprzętu medycznego</t>
  </si>
  <si>
    <t>Modernizacja warsztatów naprawczych w budynku Wojewódzkiej Stacji Pogotowia Ratunkowego w Rzeszowie ul. Wyzwolenia 4</t>
  </si>
  <si>
    <t xml:space="preserve"> Wojewódzka Stacja Pogotowia Ratunkowego w Rzeszowie</t>
  </si>
  <si>
    <t>Zakup dwóch ambulansów z noszami elektrycznymi na potrzeby realizacji zadań Państwowego Ratownictwa Medycznego i zadań statutowych</t>
  </si>
  <si>
    <t>Zwiększenie dostępności (poprzez rozbudowę i modernizację) e-usług zdrowotnych świadczonych w Wojewódzkim Ośrodku Medycyny Pracy w Rzeszowie</t>
  </si>
  <si>
    <t>Wojewódzki Ośrodek  Medycyny Pracy w Rzeszowie</t>
  </si>
  <si>
    <t xml:space="preserve">Termomodernizacja budynku  </t>
  </si>
  <si>
    <t xml:space="preserve">Regionalnego Ośrodka Polityki Społecznej w Rzeszowie </t>
  </si>
  <si>
    <t>Zakup (dostawa) sprzętu komputerowego niezbędnego do wdrożania EZD - (Systemu do elektronicznego zarządzania dokumentacją)</t>
  </si>
  <si>
    <t xml:space="preserve">Zakup (dostawa) serwera NAS oraz dysków do serwera NAS - backup przeznaczony do systemu EZD - (System do elektronicznego zarządzania dokumentacją) </t>
  </si>
  <si>
    <t>Zakup (dostawa) oprogramowania zapobiegającgoe wyciekowi danych - DLP LICENCJI NOWA (JED</t>
  </si>
  <si>
    <t>Wykonanie i montaż boksów biurowych wraz z pracami towarzyszącymi</t>
  </si>
  <si>
    <t>Zakup samochodu służbowego</t>
  </si>
  <si>
    <t>Teatr im. Wandy Siemaszkowej 
w Rzeszowie</t>
  </si>
  <si>
    <t>Modernizacji systemu klimatyzacji</t>
  </si>
  <si>
    <t xml:space="preserve">Zakup aparatury oświetleniowej oraz nagłośnienia tj. stołu sterowania oświetleniem wraz z zestawem okablowania, 6 sztuk mikrofonów bezprzewodowych oraz konsolety dźwiękowej, cyfrowej wraz z urządzeniem Stage Rack </t>
  </si>
  <si>
    <t xml:space="preserve">Filharmonia im. Artura Malawskiego w Rzeszowie </t>
  </si>
  <si>
    <t xml:space="preserve">Zakup wykładziny baletowej na scenę główną </t>
  </si>
  <si>
    <t xml:space="preserve">zakup i modernizacja mobilnego sprzętu oświetleniowego oraz audiowizualnego </t>
  </si>
  <si>
    <t>Podkarpacką Kronikę Filmową</t>
  </si>
  <si>
    <t>Dostawa i montaż klimatyzatorów w budynku WDK w Rzeszowie</t>
  </si>
  <si>
    <t xml:space="preserve">Zakup samochodu dostawczego do 3,5 tony </t>
  </si>
  <si>
    <t xml:space="preserve">Zakup oświetlenia scenicznego Sali widowiskowej </t>
  </si>
  <si>
    <t>Centrum Kulturalne w Przemyślu</t>
  </si>
  <si>
    <t xml:space="preserve">Zakup nagłośnienia scenicznego </t>
  </si>
  <si>
    <t xml:space="preserve">Zakup zapory sieciowej FIREWALL </t>
  </si>
  <si>
    <t xml:space="preserve">Zakup nowego oszczędnego oświetlenia sal ekspozycyjnych </t>
  </si>
  <si>
    <t xml:space="preserve">Modernizacja szklarni </t>
  </si>
  <si>
    <t>Arboretum i Zakład Fizjografii 
w Bolestraszycach</t>
  </si>
  <si>
    <t>Budowa wiat parkingowych i fotowoltaiki</t>
  </si>
  <si>
    <t>Rozbudowa linii energetycznej niskiego napięcia</t>
  </si>
  <si>
    <t>Rozbudowa i modernizacja ogrodzenia</t>
  </si>
  <si>
    <t>Modernizacja budynków Dworu Michałowskiego i Oficyny Dużej</t>
  </si>
  <si>
    <t>Rozbudowa woliery dla pokazowego ptactwa ozdobnego</t>
  </si>
  <si>
    <t>Modernizacja bibliotek i poprawa stanu infrastruktury informatycznej wojewódzkich placówek udostępniania w celu polepszenia standardu obsługi użytkowników i bezpieczeństwa pracy</t>
  </si>
  <si>
    <t>Wojewódzka i Miejska Biblioteka Publiczna w Rzeszowie</t>
  </si>
  <si>
    <t xml:space="preserve">Opracowanie dokumentacji projektowej wraz z uzyskaniem wszystkich niezbędnych pozwoleń na wykonanie nowego przyłącza cieplnego wysokich parametrów siedziby głównej Muzeum Okręgowego w Rzeszowie przy ul. 3 Maja 19 do miejskiej sieci ciepłowniczej </t>
  </si>
  <si>
    <t>Muzeum Okręgowe w Rzeszowie</t>
  </si>
  <si>
    <t xml:space="preserve">Zakup niezbędnego sprzętu elektronicznego w celu poprawy jakości infrastruktury kultury dla  realizacji zadań statutowych oraz administracyjnych w Muzeum Okręgowym w Rzeszowie </t>
  </si>
  <si>
    <t>Zakup muzealiów</t>
  </si>
  <si>
    <t>Zakup unikatowych eksponatów</t>
  </si>
  <si>
    <t>Muzeum Podkarpackie w Krośnie</t>
  </si>
  <si>
    <t>Sto lat Krośnieńskich Hut Szkła</t>
  </si>
  <si>
    <t>Zakup serwera</t>
  </si>
  <si>
    <t>Budowa zespołu obiektów Parku Etnograficznego Muzeum Kultury Ludowej w Kolbuszowej (strefa zaplecza "A"): zestawienie do stanu surowego otwartego Rządcówki z Rudnej Wielkiej</t>
  </si>
  <si>
    <t xml:space="preserve">Rozbudowa sektora rzeszowskiego - uzupełnienie zagrody z Budziwoja, przeniesienie wozówki i spichlerza pp Skałów z Zaczernia  </t>
  </si>
  <si>
    <t xml:space="preserve">Zakup muzealiów </t>
  </si>
  <si>
    <t>Doposażenie stolarni Parku Etnograficznego MKL w Kolbuszowej</t>
  </si>
  <si>
    <t xml:space="preserve">Muzeum Narodowe Ziemi Przemyskiej w Przemyślu </t>
  </si>
  <si>
    <t>Modernizacja systemu technologii informatycznej w Muzeum Budownictwa Ludowego w Sanoku</t>
  </si>
  <si>
    <t xml:space="preserve">Muzeum Budownictwa Ludowego 
w Sanoku </t>
  </si>
  <si>
    <t>System klimatyzacyjny w pomieszczeniach biurowych i użyteczności publicznej</t>
  </si>
  <si>
    <t xml:space="preserve">Zakup sprzętu i wyposażenia do ochrony obiektów i działalności </t>
  </si>
  <si>
    <t>Modernizacja ekspozycji stałej i sali wystaw czasowych</t>
  </si>
  <si>
    <t>Muzeum Polaków Ratujących Żydów podczas II wojny światowej im. Rodziny Ulmów w Markowej</t>
  </si>
  <si>
    <t>OGÓŁEM</t>
  </si>
  <si>
    <t>1.</t>
  </si>
  <si>
    <t>2.</t>
  </si>
  <si>
    <t>3.</t>
  </si>
  <si>
    <t>4.</t>
  </si>
  <si>
    <t>5.</t>
  </si>
  <si>
    <t>Zadania inwestycyjne jednoroczne ujęte w projekcie uchwały budżetowej na 2023r.</t>
  </si>
  <si>
    <t>Kwota wydatków w projekcie budżetu Województwa na 2023r.</t>
  </si>
  <si>
    <t>010</t>
  </si>
  <si>
    <t xml:space="preserve">Podkarpackie Biuro Geodezji 
i Terenów Rolnych w Rzeszowie </t>
  </si>
  <si>
    <t>Urząd Marszałkowski Województwa Podkarpackiego w Rzeszowie</t>
  </si>
  <si>
    <t>Zakup sprzętu, oprogramowania, infrastruktury technicznej, aplikacji do przetwarzania i udostępniania danych przestrzennych zgromadzonych w wojewódzkim zasobie geodezyjnym i kartograficznym oraz urządzeń wielofunkcyjnych dla Wojewódzkiego Ośrodka Dokumentacji Geodezyjnej i Kartograficznej w Rzeszowie.</t>
  </si>
  <si>
    <t xml:space="preserve">Wojewódzki Ośrodek Geodezji 
i Kartografii w Rzeszowie </t>
  </si>
  <si>
    <t xml:space="preserve">Uzupełnienie wkładu własnego, wydatki niekwalifikowalne oraz prefinansowanie wydatków podlegających rozliczeniu w ramach budżetu UE i budżetu państwa w związku z realizacją przez wojewódzkie jednostki budżetowe oraz wojewódzkie osoby prawne projektów inwestycyjnych realizowanych przy udziale pozyskanych środków zewnętrznych  </t>
  </si>
  <si>
    <t xml:space="preserve">Dofinansowanie inwestycji i zakupów inwestycyjnych uczelni (do uruchomienia po zgromadzeniu informacji o potrzebach tych jednostek) </t>
  </si>
  <si>
    <t xml:space="preserve">Zakup i objęcie akcji i udziałów w spółkach prawa handlowego (do uruchomienia po podjęciu przez Sejmik Województwa odrębnych uchwał dotyczących tworzenia spółek prawa handlowego i przystępowania do nich oraz określania zasad wnoszenia wkładów, a także obejmowania, nabywania udziałów i akcji) </t>
  </si>
  <si>
    <t xml:space="preserve">Zwiększenie kwot przeznaczonych na sfinansowanie zamówień publicznych w wojewódzkich jednostkach budżetowych oraz wojewódzkich osobach prawnych w celu umożliwienia rozstrzygnięć postępowań o  udzielenie zamówień publicznych, a także na pokrycie waloryzacji wynagrodzeń oraz roszczeń wykonawców na zadaniach realizowanych lub zrealizowanych, w szczególności na skutek wzrostu kosztów ich realizacji </t>
  </si>
  <si>
    <t xml:space="preserve">Zakupy inwestycyjne instytucji kultury, dla których organizatorem jest Województwo Podkarpackie (do uruchomienia po zgromadzeniu informacji o potrzebach tych instytucji) </t>
  </si>
  <si>
    <t>Dostosowanie budynków Teatru im. Wandy Siemaszkowej do obowiązujących przepisów ochrony pożarowej</t>
  </si>
  <si>
    <t>Modernizacja dachu i elewacji budynku Małej Sceny</t>
  </si>
  <si>
    <t xml:space="preserve">Modernizacja budynku hydroforni </t>
  </si>
  <si>
    <t xml:space="preserve">Budowa placu zabaw dla dzieci </t>
  </si>
  <si>
    <t xml:space="preserve">Rozbudowa alejek ogrodowych </t>
  </si>
  <si>
    <t>Opracowanie dokumentacji projektowej dla zadania "Adaptacja dwóch budynków przy ulicy Rogozińskiego 30 w  Przemyślu na magazyny muzealne"</t>
  </si>
  <si>
    <t>E-usługi w Specjalistycznym Psychiatrycznym Zespole Opieki Zdrowotnej im. prof. Antoniego Kępińskiego w Jarosławiu</t>
  </si>
  <si>
    <t>Termomodernizacja budynku nr 4 w WPSP w Żurawicy</t>
  </si>
  <si>
    <t>Budowa stacji wyjazdowej pogotowia ratunkowego</t>
  </si>
  <si>
    <t>Budowa kładki rowerowo - pieszej nad Jeziorem Solińskim</t>
  </si>
  <si>
    <t>Dotacje celowe dla organizacji pozarządowych na zadanie mające na celu podniesienie poziomu sportowego zawodników Województwa Podkarpackiego (zakup sprzętu sportowego)</t>
  </si>
  <si>
    <t>Realizacja Uchwały nr XLVII/780/22 Sejmiku Województwa Podkarpackiego z dnia 28 marca 2022 r. w sprawie zakresu pomocy Województwa Podkarpackiego obywatelom Ukrainy w związku z konfliktem zbrojnym na terytorium tego państwa</t>
  </si>
  <si>
    <t>Zakup samochodów do celów służbowych</t>
  </si>
  <si>
    <t>Zakup i montaż klimatyzacji w pomieszczeniach dwóch budynków w Jarosławiu ul. Traugutta 9</t>
  </si>
  <si>
    <t>Zakup urządzeń wielofunkcyjnych</t>
  </si>
  <si>
    <t>Zakup sprzetu geodezyjnego wraz z oprogramowaniem</t>
  </si>
  <si>
    <t>Zakup sprzętu pomiarowego i informatycznego oraz oprogramowania na potrzeby prowadzących obsługę dochodów budżetu województwa związanych z wyłączeniem z produkcji gruntów rolnych</t>
  </si>
  <si>
    <t>Zakup zestawu do pozyskiwania trójwymiarowych danych przestrzennych za pomocą technik fotogrametrii niskiego pułapu składającego się z bezzałogowego statku powietrznego typu wirnikowiec wraz z sensorem LiDAR, sensorem RBG do zdjęć poziomych i ukośnych wraz z oprogramowaniem dla Podkarpackiego Biura Geodezji i Terenów Rolnych w Rzeszowie</t>
  </si>
  <si>
    <t>Dotacje celowe dla gmin z przeznaczeniem na budowę i modernizację dróg dojazdowych do gruntów rolnych oraz budowę i renowację zbiorników wodnych służących małej retencji</t>
  </si>
  <si>
    <t>Dotacje celowe dla powiatów z przeznaczeniem na zakup sprzętu pomiarowego i informatycznego oraz oprogramowania niezbędnego do prowadzenia spraw ochrony gruntów rolnych, budowę i modernizację dróg dojazdowych do gruntów rolnych oraz budowę i renowację zbiorników wodnych służących małej retencji</t>
  </si>
  <si>
    <t>Połączenie bezpiecznym linkiem optycznym serwerowni podstawowej i rezerwowej RCIM oraz węzła szkieletowego WS_Rzeszów sieci SSPW</t>
  </si>
  <si>
    <t>Roboty budowalne związane z obiektem Centrum Wystawienniczo – Kongresowego Województwa Podkarpackiego w Jasionce</t>
  </si>
  <si>
    <t>Zakup urządzenia wielofunkcyjnego</t>
  </si>
  <si>
    <t xml:space="preserve">Zakupu specjalistycznego sprzętu na doposażenie zespołu ratownictwa medycznego </t>
  </si>
  <si>
    <t>Wojewódzka Stacja Pogotowia Ratunkowego w Przemyślu</t>
  </si>
  <si>
    <t>Rozbudowa drogi wojewódzkiej Nr 992 Jasło – Zarzecze – Nowy Żmigród – Krempna – Świątkowa – Grab – Ożenna – granica państwa na odcinku od km 14+677 do km 15+009 wraz z budową miejsca wykonywania kontroli ruchu i transportu drogowego, niezbędną infrastrukturą techniczną, budowlami i urządzeniami budowlanymi w miejscowości Nowy Żmigród</t>
  </si>
  <si>
    <t>Zakup 3 szt. kserokopiarek A3 dla Podkarpackiego Zespołu Placówek Wojewódzkich w Rzeszowie</t>
  </si>
  <si>
    <t>Zakup 2 szt. kserokopiarek A3 na potrzeby PBW w Przemyślu oraz BP w Tarnobrzegu</t>
  </si>
  <si>
    <t>Wojewódzki Urząd Pracy 
w Rzeszowie</t>
  </si>
  <si>
    <t>Wojewódzki Dom Kultury 
w Rzeszowie</t>
  </si>
  <si>
    <t>Galeria Sztuki Współczesnej 
w Przemyślu</t>
  </si>
  <si>
    <t xml:space="preserve">Muzeum Kultury Ludowej 
w Kolbuszowej </t>
  </si>
  <si>
    <t>Muzeum Marii Konopnickiej 
w Żarnowcu</t>
  </si>
  <si>
    <t xml:space="preserve">Urząd Marszałkowski Województwa Podkarpackiego 
w Rzeszowie </t>
  </si>
  <si>
    <t>Urząd Marszałkowski Województwa Podkarpackiego 
w Rzeszowie</t>
  </si>
  <si>
    <t>Kliniczny Szpital Wojewódzki Nr 2 im. Św. Jadwigi Królowej 
w Rzeszowie</t>
  </si>
  <si>
    <t>Wojewódzki Szpital im. Ojca Pio 
w Przemyślu</t>
  </si>
  <si>
    <t>Medyczno - Społeczne Centrum Kształcenia Zawodowego 
i Ustawicznego w Rzeszowie</t>
  </si>
  <si>
    <t>Kliniczny Szpital Wojewódzki Nr 1 im. Fryderyka Chopina 
w Rzeszowie</t>
  </si>
  <si>
    <t xml:space="preserve">Wojewódzki Szpital im. Zofii 
z Zamoyskich Tarnowskiej 
w Tarnobrzegu </t>
  </si>
  <si>
    <t>Zadania inwestycyjne wieloletnie ujęte w projekcie uchwały budżetowej na 2023 rok
(ujęte w wykazie przedsięwzięć do WPF)</t>
  </si>
  <si>
    <t>Nazwa przedsięwzięcia</t>
  </si>
  <si>
    <t>Okres realizacji</t>
  </si>
  <si>
    <t>Jednostka realizująca zadanie inwestycyjne</t>
  </si>
  <si>
    <t>Zakup taboru kolejowego do wykonywania przewozów pasażerskich na terenie Województwa Podkarpackiego - etap II</t>
  </si>
  <si>
    <t>2021-2023</t>
  </si>
  <si>
    <t>Urząd Marszałkowski Województwa Podkarpackiego</t>
  </si>
  <si>
    <t>2018-2023</t>
  </si>
  <si>
    <t>Budowa/przebudowa drogi wojewódzkiej nr 835 Lublin-Przeworsk-Grabownica Starzeńska na odcinku od DK 94 do miasta Kańczuga - etap I</t>
  </si>
  <si>
    <t>2016-2023</t>
  </si>
  <si>
    <t xml:space="preserve">Podkarpacki Zarząd Dróg Wojewódzkich w Rzeszowie </t>
  </si>
  <si>
    <t>Budowa/przebudowa drogi wojewódzkiej nr 835 Lublin-Przeworsk-Grabownica Starzeńska na odcinku od DK 94 do miasta Kańczuga - etap II</t>
  </si>
  <si>
    <t>Rozbudowa DW 878 na odcinku od granicy miasta Rzeszowa (ul. Lubelska) do DW 869</t>
  </si>
  <si>
    <t>2021- 2023</t>
  </si>
  <si>
    <t>Budowa nowego odcinka drogi wojewódzkiej nr 865 Jarosław - Oleszyce - Cieszanów - Bełżec wraz z budową mostu na rzece San oraz budową i przebudową niezbędnej infrastruktury technicznej, budowli i urządzeń budowlanych w m. Jarosław</t>
  </si>
  <si>
    <t>2022--2025</t>
  </si>
  <si>
    <t xml:space="preserve">Przebudowa /rozbudowa DW  895 na odcinku Solina - Myczków i DW 894 na odcinku Hoczew - Polańczyk </t>
  </si>
  <si>
    <t>2017-2023</t>
  </si>
  <si>
    <t>Budowa drogi wojewódzkiej nr 886 na odcinku pomiędzy planowaną obwodnicą miasta Sanoka a drogą krajową nr 28</t>
  </si>
  <si>
    <t>Budowa wiaduktu kolejowego/tunelu drogowego w nowym śladzie drogi wojewódzkiej DW nr 877 w ul. Podzwierzyniec w Łańcucie w zamian za likwidację przejazdu kolejowo-drogowego kat. A km 174,744 linii kolejowej nr 91, w ramach projektu pn.: "Poprawa bezpieczeństwa na skrzyżowaniach linii kolejowych z drogami - Etap III"</t>
  </si>
  <si>
    <t>2020-2023</t>
  </si>
  <si>
    <t xml:space="preserve">Podkarpacki Zarząd Dróg Wojewódzkich w Rzeszowie 
</t>
  </si>
  <si>
    <t>Rozbudowa drogi wojewódzkiej Nr 872 na odcinku od skrzyżowania z DK 9 w Nowej Dębie do skrzyżowania z DK 77 w Nisku wraz z niezbędną infrastrukturą techniczną, budowlami i urządzeniami budowlanymi</t>
  </si>
  <si>
    <t>2020-2025</t>
  </si>
  <si>
    <t>Rozbudowa/przebudowa DW 986 odc. Ostrów – Ropczyce wraz z budową mostu w m. Wielopolka i budową wiaduktu w m. Ropczyce nad linią kolejową 91</t>
  </si>
  <si>
    <t>2022-2024</t>
  </si>
  <si>
    <t>Modernizacja podkarpackich dróg wojewódzkich w Bieszczadach – Rozbudowa DW 895 na odcinku Uherce Mineralne (DK84) – Solina</t>
  </si>
  <si>
    <t>Budowa DW 869 pomiędzy autostradą A4 a DK9 i drogą expressową S19 - etap V</t>
  </si>
  <si>
    <t>2022-2027</t>
  </si>
  <si>
    <t>Modernizacja podkarpackich dróg wojewódzkich w Bieszczadach - DW 894 Polańczyk - Wołkowyja</t>
  </si>
  <si>
    <t>2022-2026</t>
  </si>
  <si>
    <t>Rozbudowa i przebudowa drogi wojewódzkiej nr 858 na odcinku Sieraków - Harasiuki wraz z rozbiórką i budową mostu na rzece Borowina</t>
  </si>
  <si>
    <t>Rozbudowa drogi wojewódzkiej nr 884 Przemyśl – Dubiecko – Bachórz – Domaradz na odcinku od km ok. 24+170 do km ok. 24+370 wraz z rozbiórką, budową i przebudową infrastruktury technicznej, budowli i urządzeń budowlanych w m. Babice</t>
  </si>
  <si>
    <t>2022-2023</t>
  </si>
  <si>
    <t>Opracowanie dokumentacji projektowych i uzyskanie decyzji o zezwoleniu na realizację inwestycji drogowych</t>
  </si>
  <si>
    <t>2012 - 2027</t>
  </si>
  <si>
    <t>Budowa węzła na skrzyżowaniu autostrady A4 z drogą wojewódzką Nr 986 w m. Ostrów</t>
  </si>
  <si>
    <t>2022 - 2027</t>
  </si>
  <si>
    <t>Budowa wschodniej obwodnicy Łańcuta w ciągu drogi wojewódzkiej nr 877 od węzła A4 "Łańcut" do drogi krajowej nr 94 w Głuchowie</t>
  </si>
  <si>
    <t>Budowa obwodnicy Tyczyna w ciągu DW 878</t>
  </si>
  <si>
    <t>Budowa obwodnicy Leska w ciągu DW 894 od DK 84 w m. Postołów do DW 894 w m. Huzele</t>
  </si>
  <si>
    <t>Budowa DW nr 858 Zarzecze - granica województwa na odcinku Dąbrowica - Sieraków</t>
  </si>
  <si>
    <t>Przebudowa DW Nr 991 Lutcza - Krosno oraz DW 989 Strzyżów - Lutcza</t>
  </si>
  <si>
    <t>Dofinansowanie zadań poprawiających stan techniczny oraz bezpieczeństwo ruchu na drogach wojewódzkich, realizowanych przez Gminy na terenie Województwa Podkarpackiego w ramach Rządowego Funduszu Polski Ład: Program Inwestycji Strategicznych oraz Funduszu Przeciwdziałania COVID-19</t>
  </si>
  <si>
    <t>Opracowanie dokumentacji przebudowy przepustu drogowego na ulicy Mieleckiej w Kolbuszowej Dolnej w km 25+968</t>
  </si>
  <si>
    <t>Dofinansowanie budowy łączników do węzłów autostrady i drogi ekspresowej, realizowanych przez powiaty na terenie Województwa Podkarpackiego</t>
  </si>
  <si>
    <t>Podkarpacki System Informacji Medycznej (PSIM)</t>
  </si>
  <si>
    <t>2019-2023</t>
  </si>
  <si>
    <t>Utrzymanie projektu pn. Sieć Szerokopasmowa Polski Wschodniej - Województwo Podkarpackie</t>
  </si>
  <si>
    <t>2015-2023</t>
  </si>
  <si>
    <t>Pomoc Techniczna FEP 2021-2027 (EFRR)</t>
  </si>
  <si>
    <t>2021-2029</t>
  </si>
  <si>
    <t>Poprawa dostępności do usług publicznych w Urzędzie Marszałkowskim Województwa Podkarpackiego w Rzeszowie</t>
  </si>
  <si>
    <t>Przebudowa Zakładowego Obiektu Socjalnego w Polańczyku</t>
  </si>
  <si>
    <t>75095</t>
  </si>
  <si>
    <t>Funkcjonowanie Oddziału Programu Współpracy Transgranicznej EIS Polska - Białoruś - Ukraina 2014-2020 w Rzeszowie w latach 2022-2023</t>
  </si>
  <si>
    <t>Zintegrowany i uspołeczniony model planowania przestrzennego poprzez opracowanie Strategii Przestrzennej Rzeszowskiego Obszaru Funkcjonalnego</t>
  </si>
  <si>
    <t>Profilaktyka, diagnostyka i kompleksowe leczenie chorób układu oddechowego z chirurgicznym i chemicznym leczeniem nowotworów klatki piersiowej na oddziałach klinicznych oraz rehabilitacja</t>
  </si>
  <si>
    <t xml:space="preserve">Urząd Marszałkowski Województwa Podkarpackiego </t>
  </si>
  <si>
    <t>Przebudowa pomieszczeń II piętra w budynku "A" i "BG" użytkowanych przez Klinikę Ginekologii i Położnictwa w Klinicznym Szpitalu Wojewódzkim nr 1 im. Fryderyka Chopina w Rzeszowie</t>
  </si>
  <si>
    <t>Modernizacja kliniki ortopedii w KSW NR 2 w Rzeszowie</t>
  </si>
  <si>
    <t>Wdrożenie elektronicznej dokumentacji medycznej oraz uruchomienie e-usług dla pacjentów Wojewódzkiego Szpitala im. Zofii z Zamoyskich Tarnowskiej w Tarnobrzegu</t>
  </si>
  <si>
    <t>Poprawa dostępności do kompleksu budynków Wojewódzkiego Szpitala Podkarpackiego im. Jana Pawła II w Krośnie poprzez przebudowę układu komunikacyjnego i parkingów - etap I</t>
  </si>
  <si>
    <t>Modernizacja Oddziału Neurologii poprzez rozszerzenie o Pododdział Udarowy polegająca na przebudowie pomieszczeń I piętra Pawilonu F1 wraz z zakupem sprzętu i aparatury medycznej w Wojewódzkim Szpitalu im. Zofii z Zamoyskich Tarnowskiej</t>
  </si>
  <si>
    <t>Przebudowa budynku Histopatologii i Patomorfologii w Klinicznym Szpitalu Nr 2 im. Św. Jadwigi Królowej w Rzeszowie</t>
  </si>
  <si>
    <t>Przygotowanie kompleksowej wielobranżowej dokumentacji architektoniczno - budowlanej dotyczącej budowy Nowej Sceny Teatru</t>
  </si>
  <si>
    <t>Urząd Marszałkowski Województwa Podkarpackiego 
DO / TEATR</t>
  </si>
  <si>
    <t>Podkarpacki Regionalny Fundusz Filmowy - wsparcie produkcji filmowej</t>
  </si>
  <si>
    <t>2020-2029</t>
  </si>
  <si>
    <t>Opracowanie kompleksowej dokumentacji projektowej dla inwestycji: Rozbudowa i przebudowa budynku WDK w Rzeszowie wraz z zagospodarowaniem skweru im. G. Gęsickiej i budową parkingów od strony południowej</t>
  </si>
  <si>
    <t>Urząd Marszałkowski Województwa Podkarpackiego 
DO / WDK</t>
  </si>
  <si>
    <t>Utworzenie podkarpackiego centrum nauki</t>
  </si>
  <si>
    <t>Rozbudowa, przebudowa i nadbudowa budynku magazynowego oraz zmiana sposobu użytkowania części budynku administracyjnego Muzeum Budownictwa Ludowego w Sanoku</t>
  </si>
  <si>
    <t xml:space="preserve">Urząd Marszałkowski Województwa Podkarpackiego
DO / MUZEUM BUDOWNICTWA LUDOWEGO SANOK </t>
  </si>
  <si>
    <t>Dotacja celowa na rzecz beneficjentów osi priorytetowych I-VI RPO WP na lata 2014 - 2020 realizujących projekty o charakterze innym niż rewitalizacyjny</t>
  </si>
  <si>
    <t>2016 - 2023</t>
  </si>
  <si>
    <t>Dotacja celowa na rzecz beneficjentów osi priorytetowych I-VI RPO WP na lata 2014 - 2020 realizujących projekty o charakterze rewitalizacyjnym</t>
  </si>
  <si>
    <t>RPO WP na lata 2014-2020
Pomoc Techniczna</t>
  </si>
  <si>
    <t>6.</t>
  </si>
  <si>
    <t>Budowa Podmiejskiej Kolei Aglomeracyjnej - PKA: budowa zaplecza technicznego</t>
  </si>
  <si>
    <r>
      <t>Tabela porównawcza dochodów ujętych w projekcie uchwały budżetowej na 2023r. z przewidywanym wykonaniem dochodów w roku 2022 w szczegółowości dział, rozdział,  paragraf klasyfikacji budżetowej oraz źródeł pochodzenia</t>
    </r>
    <r>
      <rPr>
        <b/>
        <i/>
        <sz val="14"/>
        <color theme="1"/>
        <rFont val="Arial"/>
        <family val="2"/>
      </rPr>
      <t>dochodów</t>
    </r>
  </si>
  <si>
    <t>(według działów, rozdziałów, paragrafów klasyfikacji budżetowej oraz źródeł pochodzenia i rodzajów dochodów)</t>
  </si>
  <si>
    <t>Rozdz.</t>
  </si>
  <si>
    <t>Źródło pochodzenia</t>
  </si>
  <si>
    <t>Paragraf</t>
  </si>
  <si>
    <t>Plan wg uchwały budżetowej Sejmiku na 2022 r.</t>
  </si>
  <si>
    <t>Plan dochodów na 2022r. wg stanu na 31.08.2022r. - przewidywane wykonanie dochodów w 2022r.</t>
  </si>
  <si>
    <t>Prognozowana kwota na 2023r.</t>
  </si>
  <si>
    <t>% 
 (7:5)</t>
  </si>
  <si>
    <t>Zmiany</t>
  </si>
  <si>
    <t>Plan na 2023 r.</t>
  </si>
  <si>
    <t>% zmiana planu 
(6:5)</t>
  </si>
  <si>
    <t>Uwagi</t>
  </si>
  <si>
    <t>7.</t>
  </si>
  <si>
    <t>8.</t>
  </si>
  <si>
    <t>9.</t>
  </si>
  <si>
    <t>ROLNICTWO I ŁOWIECTWO</t>
  </si>
  <si>
    <t xml:space="preserve">Biura geodezji i terenów rolnych </t>
  </si>
  <si>
    <t>a) dochody bieżące, w tym:</t>
  </si>
  <si>
    <t xml:space="preserve">Dochody realizowane przez Podkarpackie Biuro Geodezji i Terenów Rolnych w Rzeszowie </t>
  </si>
  <si>
    <t>0750</t>
  </si>
  <si>
    <t>0830</t>
  </si>
  <si>
    <t>0970</t>
  </si>
  <si>
    <t>b) dochody majątkowe</t>
  </si>
  <si>
    <t xml:space="preserve">Dochody realizowane przez Podkarpackie Biuro Geodezji 
i Terenów Rolnych w Rzeszowie </t>
  </si>
  <si>
    <t>0870</t>
  </si>
  <si>
    <t>01041</t>
  </si>
  <si>
    <t>Program Rozwoju Obszarów Wiejskich</t>
  </si>
  <si>
    <t>Dochody realizowane przez Urząd Marszałkowski Województwa Podkarpackiego</t>
  </si>
  <si>
    <t>0950</t>
  </si>
  <si>
    <t>Dotacja celowa z budżetu państwa na finansowanie wydatków objętych Pomocą Techniczną Programu Rozwoju Obszarów Wiejskich na lata 2014 - 2020</t>
  </si>
  <si>
    <t>Dotacja celowa z budżetu państwa na współfinansowanie wydatków objętych Pomocą Techniczną Programu Rozwoju Obszarów Wiejskich na lata 2014 - 2020</t>
  </si>
  <si>
    <t>Zwrot części dotacji wykorzystanych niezgodnie z przeznaczeniem, pobranych nienależnie lub w nadmiernej wysokości przez Partnera Krajowego Sekretariatu Obszarów Wiejskich</t>
  </si>
  <si>
    <t>Wyłączenie z produkcji gruntów rolnych</t>
  </si>
  <si>
    <t>Wpływy z tytułu opłat za wyłączenie z produkcji gruntów rolnych</t>
  </si>
  <si>
    <t>0690</t>
  </si>
  <si>
    <t>Odsetki od zwrotu części dotacji wykorzystanej niezgodnie z przeznaczeniem na modernizację dróg dojazdowych do gruntów rolnych</t>
  </si>
  <si>
    <t>0920</t>
  </si>
  <si>
    <t>Zwrot części dotacji wykorzystanej niezgodnie z przeznaczeniem na modernizację dróg dojazdowych do gruntów rolnych</t>
  </si>
  <si>
    <t>2910</t>
  </si>
  <si>
    <t>Zwrot cześci dotacji pobranej w nadmiernej wysokości na budowę i modernizację dróg dojazdowych do gruntów rolnych</t>
  </si>
  <si>
    <t>01095</t>
  </si>
  <si>
    <t>Pozostała działalność</t>
  </si>
  <si>
    <t>Zwrot wypłaconego na rzecz osoby fizycznej odszkodowania za szkody łowieckie wyrządzone w uprawach i płodach rolnych przez zwierzęta łowne na obszarach niewchodzących w skład obwodów łowieckich</t>
  </si>
  <si>
    <t>0940</t>
  </si>
  <si>
    <t xml:space="preserve">Dotacje celowe otrzymane z budżetu państwa na zadania bieżące z zakresu administracji rządowej oraz inne zadania zlecone ustawami realizowane przez samorząd województwa </t>
  </si>
  <si>
    <t>Dotacja otrzymana z Wojewódzkiego Funduszu Ochrony Środowiska i Gospodarki Wodnej w Rzeszowie</t>
  </si>
  <si>
    <t>050</t>
  </si>
  <si>
    <t xml:space="preserve">RYBOŁÓWSTWO I RYBACTWO </t>
  </si>
  <si>
    <t>05011</t>
  </si>
  <si>
    <t>Program Operacyjny Zrównoważony rozwój sektora rybołówstwa i nadbrzeżnych obszarów rybackich 2007 - 2013 oraz Program Operacyjny Rybactwo i Morze 2014 - 2020</t>
  </si>
  <si>
    <t>Dotacja celowa z budżetu państwa na finansowanie wydatków objętych Pomocą Techniczną Programu Operacyjnego Rybactwo i Morze 2014 - 2020</t>
  </si>
  <si>
    <t>Dotacja celowa z budżetu państwa na współfinansowanie wydatków objętych Pomocą Techniczną Programu Operacyjnego Rybactwo i Morze 2014 - 2020</t>
  </si>
  <si>
    <t>100</t>
  </si>
  <si>
    <t>GÓRNICTWO I KOPALNICTWO</t>
  </si>
  <si>
    <t>10095</t>
  </si>
  <si>
    <t>5% dochodów uzyskiwanych na rzecz budżetu państwa w związku z realizacją zadań z zakresu administracji rządowej oraz innych zadań zleconych ustawami</t>
  </si>
  <si>
    <t xml:space="preserve">b) dochody majątkowe </t>
  </si>
  <si>
    <t>150</t>
  </si>
  <si>
    <t>PRZETWÓRSTWO PRZEMYSŁOWE</t>
  </si>
  <si>
    <t>15011</t>
  </si>
  <si>
    <t>Rozwój przedsiębiorczości</t>
  </si>
  <si>
    <t>Zwrot części dotacji wykorzystanych niezgodnie z przeznaczeniem, pobranych nienależnie lub w nadmiernej wysokości przez beneficjentów projektów realizowanych w ramach Programu Operacyjnego Kapitał Ludzki</t>
  </si>
  <si>
    <t xml:space="preserve">Zwrot części niewykorzystanych dotacji przez beneficjentów projektów realizowanych w ramach Regionalnego Programu Operacyjnego Województwa Podkarpackiego na lata 2014-2020 </t>
  </si>
  <si>
    <t>b) dochody majątkowe, w tym:</t>
  </si>
  <si>
    <t xml:space="preserve">Zwrot części dotacji wykorzystanych niezgodnie z przeznaczeniem, pobranych nienależnie lub w nadmiernej wysokości przez beneficjentów projektów realizowanych w ramach Regionalnego Programu Operacyjnego Województwa Podkarpackiego na lata 2014-2020 </t>
  </si>
  <si>
    <t xml:space="preserve">Zwrot części dotacji wykorzystanych niezgodnie z przeznaczeniem, pobranych nienależnie lub w nadmiernej wysokości przez beneficjentów projektów realizowanych w ramach Regionalnego Programu Operacyjnego Województwa Podkarpackiego na lata 2007-2013 </t>
  </si>
  <si>
    <t>15013</t>
  </si>
  <si>
    <t>Rozwój kadr nowoczesnej gospodarki i przedsiębiorczości</t>
  </si>
  <si>
    <t>Wpływy z odsetek od dotacji oraz płatności: wykorzystanych niezgodnie z przeznaczeniem lub wykorzystanych z naruszeniem procedur, o których mowa w art. 184 ustawy, pobranych nienależnie lub w nadmiernej wysokości</t>
  </si>
  <si>
    <t>0900</t>
  </si>
  <si>
    <t>Wpływy ze zwrotów dotacji oraz płatności wykorzystanych niezgodnie z przeznaczeniem lub wykorzystanych z naruszeniem procedur, o których mowa w art. 184 ustawy, pobranych nienależnie lub w nadmiernej wysokości</t>
  </si>
  <si>
    <t xml:space="preserve">Zwrot przez partnera części niewykorzystanej dotacji na realizację projektu pn. „Podkarpacka Platforma Wsparcia Biznesu” w ramach Regionalnego Programu Operacyjnego Województwa Podkarpackiego na lata 2014-2020 </t>
  </si>
  <si>
    <t>Wpływy ze zwrotów dotacji oraz płatności wykorzystanych niezgodnie z przeznaczeniem lub wykorzystanych z naruszeniem procedur, o których mowa w art. 184 ustawy, pobranych nienależnie lub w nadmiernej wysokości, dotyczące dochodów majątkowych</t>
  </si>
  <si>
    <t>TRANSPORT I ŁĄCZNOŚĆ</t>
  </si>
  <si>
    <t>Krajowe pasażerskie przewozy kolejowe</t>
  </si>
  <si>
    <t>Dzierżawa autobusów szynowych</t>
  </si>
  <si>
    <t>Wpływ kar umownych za nieterminową realizację umów dotyczących usług serwisowo – utrzymaniowo – naprawczych pojazdów szynowych oraz za wprowadzenie autobusowej komunikacji zastępczej (zamiast podstawienia pociągów) w miejsce odwołanych z winy operatora pociągów na terenie Województwa Podkarpackiego wraz z odsetkami</t>
  </si>
  <si>
    <t xml:space="preserve">Środki otrzymane z państwowych funduszy celowych na realizację zadań bieżących jednostek sektora finansów publicznych </t>
  </si>
  <si>
    <t>2170</t>
  </si>
  <si>
    <t>Dotacje celowe otrzymane od samorządu województwa na zadania bieżące realizowane na podstawie porozumień (umów) między jednostkami samorządu terytorialnego</t>
  </si>
  <si>
    <t>2330</t>
  </si>
  <si>
    <t>Dotacja celowa otrzymana z tytułu pomocy finansowej udzielanej między jednostkami samorządu terytorialnego na dofinansowanie własnych zadań bieżących</t>
  </si>
  <si>
    <t>2710</t>
  </si>
  <si>
    <t>Zwrot przez operatora kolejowego niewykorzystanej rekompensaty na realizacaję połączeń kolejowych w relacji Rzeszów - Sandomierz - Stalowa Wola</t>
  </si>
  <si>
    <t>2950</t>
  </si>
  <si>
    <t xml:space="preserve">Zwrot przez Województwo Małopolskie niewykorzystanej pomocy finansowej na dofinansowanie zadań związanych z organizacją kolejowych przewozów pasażerskich w relacji Kraków - Jasło i Nowy Sącz - Jasło </t>
  </si>
  <si>
    <t>Środki pochodzące z budżetu Unii Europejskiej na realizację zadania pn.: "Zakup taboru kolejowego do wykonywania przewozów pasażerskich na terenie Województwa Podkarpackiego" - w ramach Regionalnego Programu Operacyjnego Wojewó na lata 2014 - 2020</t>
  </si>
  <si>
    <t xml:space="preserve">Środki otrzymane z państwowych funduszy celowych na finansowanie lub dofinansowanie kosztów realizacji inwestycji i zakupów inwestycyjnych jednostek sektora finansów publicznych </t>
  </si>
  <si>
    <t>Infrastruktura kolejowa</t>
  </si>
  <si>
    <t>a) dochody bieżące</t>
  </si>
  <si>
    <t>Środki pochodzące z budżetu Unii Europejskiej na realizację zadania pn. "Budowa Podmiejskiej Kolei Aglomeracyjnej - PKA: Budowa i modernizacja linii kolejowych oraz infrastruktury przystankowej" w ramach Programu Operacyjnego Infrastruktura i Środowisko na lata 2014 - 2020</t>
  </si>
  <si>
    <t>Środki pochodzące z budżetu Unii Europejskiej na realizację projektu pn. "Budowa Podmiejskiej Kolei Aglomeracyjnej - PKA": Budowa i modernizacja linii kolejowych oraz infrastruktury przystankowej w ramach Programu Operacyjnego Infrastruktura i Środowisko na lata 2014 - 2020</t>
  </si>
  <si>
    <t>Środki pochodzące z budżetu Unii Europejskiej na realizację projektu pn. "Budowa Podmiejskiej Kolei Aglomeracyjnej - PKA": budowa zaplecza technicznego" w ramach Programu Operacyjnego Infrastruktura i Środowisko na lata 2014 - 2020</t>
  </si>
  <si>
    <t>Dotacja celowa otrzymana z tytułu pomocy finansowej udzielanej między jednostkami samorządu terytorialnego na dofinansowanie własnych zadań inwestycyjnych i zakupów inwestycyjnych</t>
  </si>
  <si>
    <t>Krajowe pasażerskie przewozy autobusowe</t>
  </si>
  <si>
    <t>Zwrot opłaty komorniczej związanej z egzekucją należności od przewoźnika autobusowego</t>
  </si>
  <si>
    <t>0630</t>
  </si>
  <si>
    <t>Odsetki od dotacji wykorzystanych niezgodnie z przeznaczeniem dopłat do krajowych autobusowych przewozów pasażerskich z tytułu stosowania w tych przewozach obowiązujących ulg ustawowych</t>
  </si>
  <si>
    <t>Zwrot przez przewoźnika autobusowego dotacji wykorzystanych niezgodnie z przeznaczeniem</t>
  </si>
  <si>
    <t>Zwrot przez Gminę Baranów Sandomierski niewykorzystanej dotacji na sfinansowanie strat z tytułu utraconych przychodów w związku ze stosowaniem ustawowych uprawnień do ulgowych przejazdów w przewozach o charakterze użyteczności publicznej</t>
  </si>
  <si>
    <t>Lokalny transport zbiorowy</t>
  </si>
  <si>
    <t xml:space="preserve">Opłaty za wydawanie zezwoleń na regularny przewóz osób </t>
  </si>
  <si>
    <t>0620</t>
  </si>
  <si>
    <t>2360</t>
  </si>
  <si>
    <t>Drogi publiczne wojewódzkie</t>
  </si>
  <si>
    <t>Dochody realizowane przez Podkarpacki Zarząd Dróg Wojewódzkich w Rzeszowie</t>
  </si>
  <si>
    <t xml:space="preserve">Środki pozyskane z nadleśnictw na dofinansowanie własnych zadań bieżących Samorządu Województwa </t>
  </si>
  <si>
    <t>2700</t>
  </si>
  <si>
    <t>Wpływ z tytułu pomocy finansowej udzielanej między jednostkami samorządu terytorialnego na dofinansowanie własnych zadań bieżących</t>
  </si>
  <si>
    <t>Środki pochodzące z budżetu Unii Europejskiej na realizację projektu  własnego pn. "Budowa nowego odcinka drogi wojewódzkiej Nr 992 w miejscowości Jasło" w ramach Programu Współpracy Transgranicznej Interreg V-A Polska - Słowacja na lata 2014 - 2020</t>
  </si>
  <si>
    <t>6208</t>
  </si>
  <si>
    <t>Środki pochodzące z budżetu Unii Europejskiej na realizację projektu  własnego pn. "Modernizacja drogi wojewódzkiej Nr 993 Gorlice - Nowy Żmigród - Dukla na odcinku Pielgrzymka - Nowy Żmigród" w ramach  Programu Współpracy Transgranicznej Interreg V-A Polska - Słowacja na lata 2014 - 2020</t>
  </si>
  <si>
    <t>Środki pochodzące z budżetu Unii Europejskiej na realizację projektu własnego pn. "Rozbudowa drogi wojewódzkiej Nr 867 na odcinku Lubaczów do Basznia Górna" w ramach Programu Współpracy Transgranicznej Polska - Białoruś - Ukraina 2014 - 2020</t>
  </si>
  <si>
    <t>Środki pochodzące z budżetu Unii Europejskiej na realizację inwestycji drogowych w ramach Programu Operacyjnego Polska Wschodnia na lata 2014-2020</t>
  </si>
  <si>
    <t>6257</t>
  </si>
  <si>
    <t>Środki pochodzące z budżetu Unii Europejskiej na realizację projektu własnego pn. "Rozbudowa drogi wojewódzkiej Nr 867 na odcinku Lubaczów do Basznia Górna" w ramach Programu Współpracy Transgranicznej Polska - Białoruś - Ukraina 2014 - 2019</t>
  </si>
  <si>
    <t>6258</t>
  </si>
  <si>
    <t>Środki z państwowych funduszy celowych na finansowanie lub dofinansowanie kosztów realizacji inwestycji i zakupów inwestycyjnych jednostek sektora finansów publicznych</t>
  </si>
  <si>
    <t>Środki otrzymane z Rządowego Funduszu Polski Ład: Program Inwestycji Strategicznych na realizację zadań inwestycyjnych</t>
  </si>
  <si>
    <t>Dotacje celowe otrzymane z budżetu państwa na realizację inwestycji i zakupów inwestycyjnych własnych samorządu województwa</t>
  </si>
  <si>
    <t>Dochody z tytułu opłat za wpis do rejestru przedsiębiorców prowadzących pracownię psychologiczną, opłat za wpis do ewidencji uprawnionych psychologów, opłat za wpis do ewidencji uprawnionych lekarzy wynikających z ustawy o kierujących pojazdami</t>
  </si>
  <si>
    <t>TURYSTYKA</t>
  </si>
  <si>
    <t>Zadania w zakresie upowszechniania turystyki</t>
  </si>
  <si>
    <t>Odsetki od zwrotu części dotacji wykorzystanej niezgodnie z przeznaczeniem, pobranej nienależnie lub w nadmiernej wysokości na realizację zadania z zakresu upowszechniania turystyki</t>
  </si>
  <si>
    <t>Środki pochodzące z budżetu Unii Europejskiej jako refundacja wydatków poniesionych ze środków własnych na realizację projektu pn. "Góry bez granic - integracja sieci szlaków w transgraniczny produkt turystyczny" w ramach Programu Współpracy Transgranicznej INTERREG V-A Polska - Słowacja 2014-2020</t>
  </si>
  <si>
    <t>Zwrot części dotacji wykorzystanej niezgodnie z przeznaczeniem, pobranej nienależnie lub w nadmiernej wysokości na realizację zadania z zakresu upowszechniania turystyki</t>
  </si>
  <si>
    <t>GOSPODARKA MIESZKANIOWA</t>
  </si>
  <si>
    <t>Gospodarka gruntami i nieruchomościami</t>
  </si>
  <si>
    <t>Opłaty za trwały zarząd, użytkowanie i służebność</t>
  </si>
  <si>
    <t>0470</t>
  </si>
  <si>
    <t>Wpływy z opłat z tytułu użytkowania wieczystego nieruchomości</t>
  </si>
  <si>
    <t>0550</t>
  </si>
  <si>
    <t xml:space="preserve">Dochody z najmu i dzierżawy składników majątkowych </t>
  </si>
  <si>
    <t>Wpływy z usług (media)</t>
  </si>
  <si>
    <t>Wpływy z tytułu przekształcenia prawa użytkowania wieczystego w prawo własności</t>
  </si>
  <si>
    <t>0760</t>
  </si>
  <si>
    <t>Dochody ze sprzedaży mienia będącego w zasobie Województwa</t>
  </si>
  <si>
    <t>0770</t>
  </si>
  <si>
    <t>Wykaz nieruchomości do sprzedaży:
1) działki okołolotniskowe - 1.000.000,-zł,
2) Przemyśl, ul. Łukasińskiego, nieruchomość oznaczona jako działki ewidencyjne nr 1506 o pow. 0,1277 ha i nr 1512 o pow. 0,1437 ha , zabudowana budynkiem po byłym Kolegium Nauczycielskim im. Fredry w Przemyślu (2.000.000,-zł - 50% bonyfikaty) - 1.100.000,-zł,
3) Krosno ul. Lewakowskiego 7 - lokal użytkowy nr 3 o pow. użytkowej 594,61 m2, z którym związany jest udział wynoszący 59461/90131 w częściach wspólnych budynku oraz w prawie własności do działki ewidencyjnej nr 648/1 o pow. 0,0727 ha oraz 6 działek o pow. 0,0020 ha każda zabudowana budynkiem garazowym - 1.300.000,-zł.</t>
  </si>
  <si>
    <t>DZIAŁALNOŚĆ USŁUGOWA</t>
  </si>
  <si>
    <t>Biura planowania przestrzennego</t>
  </si>
  <si>
    <t xml:space="preserve">Dochody realizowane przez Podkarpackie Biuro Planowania Przestrzennego w Rzeszowie </t>
  </si>
  <si>
    <t>Prace geologiczne (nieinwestycyjne)</t>
  </si>
  <si>
    <t>Zadania z zakresu geodezji i kartografii</t>
  </si>
  <si>
    <t xml:space="preserve">Dochody realizowane przez Wojewódzki Ośrodek Dokumentacji Geodezyjnej i Kartograficznej w Rzeszowie </t>
  </si>
  <si>
    <t>Odsetki od zwrotu części dotacji wykorzystanych niezgodnie z przeznaczeniem pobranych nienależnie lub w nadmiernej wysokości przez Partnera projektu pn.: "Podkarpacki System Informacji Przestrzennej (PSIP)" realizowanego w ramach Regionalnego Programu Operacyjnego Województwa Podkarpackiego na lata 2014 - 2020</t>
  </si>
  <si>
    <t>0909</t>
  </si>
  <si>
    <t>2210</t>
  </si>
  <si>
    <t>Zwrot części dotacji wykorzystanych niezgodnie z przeznaczeniem pobranych nienależnie lub w nadmiernej wysokości przez Partnera projektu pn.: "Podkarpacki System Informacji Przestrzennej (PSIP)" realizowanego w ramach Regionalnego Programu Operacyjnego Województwa Podkarpackiego na lata 2014 - 2020</t>
  </si>
  <si>
    <t>2917</t>
  </si>
  <si>
    <t>INFORMATYKA</t>
  </si>
  <si>
    <t xml:space="preserve">Wpływy z tytułu refundacji opłat za dysponowanie nieruchomościami w związku z utrzymaniem infrastruktury wytworzonej w ramach projektu pn.: "Sieć Szerokopasmowa Polski Wschodniej - Województwo Podkarpackie" </t>
  </si>
  <si>
    <t>Wpływy z tytułu sprzedaży udziału</t>
  </si>
  <si>
    <t>0780</t>
  </si>
  <si>
    <t xml:space="preserve">SZKOLNICTWO WYŻSZE I NAUKA </t>
  </si>
  <si>
    <t>Pomoc materialna dla studentów i doktorantów</t>
  </si>
  <si>
    <t>Odsetki od zwrotu części stypendiów udzielonych w ramach programu pn."Stypendia Marszałka Województwa Podkarpackiego" w 2019 r.</t>
  </si>
  <si>
    <t xml:space="preserve">Zwrot części stypendiów udzielonych w ramach programu pn. „Stypendia Marszałka Województwa Podkarpackiego” w 2021 roku </t>
  </si>
  <si>
    <t>Rozliczenia środków ewidencjonowanych do 2018 r. w działach "730 - Nauka" i "803 - Szkolnictwo wyższe"</t>
  </si>
  <si>
    <t>Odsetki od zwrotów części stypendiów udzielonych w ramach projektu pn. "Podkarpacki fundusz stypendialny dla doktorantów" w ramach Programu Operacyjnego Kapitał Ludzki</t>
  </si>
  <si>
    <t>0929</t>
  </si>
  <si>
    <t>Zwrot części stypendiów udzielonych w ramach projektu pn. "Podkarpacki fundusz stypendialny dla doktorantów" w ramach Programu Operacyjnego Kapitał Ludzki</t>
  </si>
  <si>
    <t>0947</t>
  </si>
  <si>
    <t>0949</t>
  </si>
  <si>
    <t xml:space="preserve">Zwrot nadpłaconej diety w ramach realizacji projektu pn.: "Inteligentne specjalizacje - narzędzie wzrostu innowacyjności i konkurencyjności województwa podkarpackiego" w ramach Regionalnego Programu Operacyjnego Województwa Podkarpackiego na lata 2014-2020 </t>
  </si>
  <si>
    <t>Środki pochodzące z budżetu Unii Europejskiej jako refundacja wydatków poniesionych ze środków własnych na realizację projektu pn. "Zachowanie i promocja dziedzictwa przyrodniczego i kulturowego poprzez Zielone Szlaki" w ramach Programu INTERREG EUROPA 2014-2020</t>
  </si>
  <si>
    <t>2058</t>
  </si>
  <si>
    <t>Środki pochodzące z budżetu Unii Europejskiej jako refundacja wydatków poniesionych ze środków własnych na realizację projektu pn. "Żywe laboratorium polityki publicznej" w ramach Programu INTERREG EUROPA 2014-2020</t>
  </si>
  <si>
    <t>Zwrot części niewykorzystanej dotacji na organizację wydarzeń popularyzujących naukę</t>
  </si>
  <si>
    <t>ADMINISTRACJA PUBLICZNA</t>
  </si>
  <si>
    <t>Urzędy wojewódzkie</t>
  </si>
  <si>
    <t xml:space="preserve">Dotacje celowe z budżetu państwa na zadania bieżące z zakresu administracji rządowej oraz inne zadania zlecone ustawami realizowane przez samorząd województwa </t>
  </si>
  <si>
    <t>Urzędy marszałkowskie</t>
  </si>
  <si>
    <t>0640</t>
  </si>
  <si>
    <t>Środki pochodzące z budżetu Unii Europejskiej na realizację projektu pn. „Poprawa dostępności do usług publicznych w Urzędzie Marszałkowskim Województwa Podkarpackiego w Rzeszowie" w ramach Programu Operacyjnego Wiedza Edukacja Rozwój na lata 2014 - 2020</t>
  </si>
  <si>
    <t>2057</t>
  </si>
  <si>
    <t>Dotacja celowa z budżetu państwa na realizację projektu pn. „Poprawa dostępności do usług publicznych w Urzędzie Marszałkowskim Województwa Podkarpackiego w Rzeszowie" w ramach Programu Operacyjnego Wiedza Edukacja Rozwój na lata 2014 - 2020</t>
  </si>
  <si>
    <t>2059</t>
  </si>
  <si>
    <t>6259</t>
  </si>
  <si>
    <t>Komisje egzaminacyjne</t>
  </si>
  <si>
    <t>Promocja jednostek samorządu terytorialnego</t>
  </si>
  <si>
    <t>Środki pochodzące z budżetu Unii Europejskiej jako refundacja wydatków poniesionych ze środków własnych na realizację projektu pn. "Karpackie Morza. Działania na rzecz promocji dziedzictwa przyrodniczego Jeziora Solińskiego i Wielkiej Domaszy” w ramach Programu Współpracy Transgranicznej INTERREG V-A Polska - Słowacja 2014-2020</t>
  </si>
  <si>
    <t>Dotacja celowa z budżetu państwa jako refundacja wydatków poniesionych ze środków własnych na realizację projektu pn. "Karpackie Morza. Działania na rzecz promocji dziedzictwa przyrodniczego Jeziora Solińskiego i Wielkiej Domaszy” w ramach Programu Współpracy Transgranicznej INTERREG V-A Polska - Słowacja 2014-2020</t>
  </si>
  <si>
    <t>Pomoc zagraniczna</t>
  </si>
  <si>
    <t>Dotacje celowe otrzymane z budżetu państwa na zadania bieżące realizowane przez samorząd województwa na podstawie porozumień z organami administracji rządowej</t>
  </si>
  <si>
    <t>Funkcjonowanie wojewódzkich rad dialogu społecznego</t>
  </si>
  <si>
    <t>Odsetki od zwrotu dotacji wykorzystanej niezgodnie z przeznaczeniem na realizację zadania pn. "Projekt wsparcia jednostek samorządu terytorialnegow opracowaniu lub aktualizacji programów rewitalizacji" w ramach Programu Operacyjnego Pomoc techniczna na lata 2014-2020</t>
  </si>
  <si>
    <t>Środki pochodzące z budżetu Unii Europejskiej na realizację projektu pn. „Zintegrowany i uspołeczniony model planowania przestrzennego poprzez opracowanie Strategii Przestrzennej Rzeszowskiego Obszaru Funkcjonalnego” w ramach Programu Operacyjnego Wiedza Edukacja Rozwój na lata 2014 - 2020</t>
  </si>
  <si>
    <t>2007</t>
  </si>
  <si>
    <t>Środki pochodzące z budżetu Unii Europejskiej na realizację projektu pn. "Wysokie standardy obsługi inwestora w samorządach województwa podkarpackiego" w ramach Programu Operacyjnego Wiedza Edukacja Rozwój na lata 2014 - 2020</t>
  </si>
  <si>
    <t>Środki pochodzące z budżetu Unii Europejskiej na realizację projektu pn. „Punkty Informacyjne Funduszy Europejskich” w ramach Programu Operacyjnego Pomoc Techniczna na lata 2014-2020</t>
  </si>
  <si>
    <t xml:space="preserve">Środki pochodzące z budżetu Unii Europejskiej na realizację projektu pn. "Zadanie polegające na wzmacnianiu zdolności gmin do programowania i wdrażania działań rewitalizacyjnych" w ramach Programu Operacyjnego Pomoc Techniczna na lata 2014-2020 </t>
  </si>
  <si>
    <t>Środki pochodzące z budżetu Unii Europejskiej na realizację projektu pn. "Przygotowanie dokumentacji technicznej i projektowej niezbędnej do rozbudowy sieci turystycznych tras rowerowych na terenie Bieszczad i włączenie ich do szlaku rowerowego Green Velo" w ramach Programu Operacyjnego Pomoc Techniczna 2014-2020</t>
  </si>
  <si>
    <t>Dotacja celowa z budżetu państwa na realizację projektu pn. „Punkty Informacyjne Funduszy Europejskich” w ramach Programu Operacyjnego Pomoc Techniczna na lata 2014-2020</t>
  </si>
  <si>
    <t>Dotacja celowa z budżetu państwa na realizację projektu pn.: „Zintegrowany i uspołeczniony model planowania przestrzennego poprzez opracowanie Strategii Przestrzennej Rzeszowskiego Obszaru Funkcjonalnego” w ramach Programu Operacyjnego Wiedza Edukacja Rozwój na lata 2014 - 2020</t>
  </si>
  <si>
    <t>Dotacja celowa z budżetu państwa na realizację projektu pn. "Wysokie standardy obsługi inwestora w samorządach województwa podkarpackiego" w ramach Programu Operacyjnego Wiedza Edukacja Rozwój na lata 2014 - 2020</t>
  </si>
  <si>
    <t>Dotacja celowa z budżetu państwa na realizację projektu pn. "Przygotowanie dokumentacji technicznej i projektowej niezbędnej do rozbudowy sieci turystycznych tras rowerowych na terenie Bieszczad i włączenie ich do szlaku rowerowego Green Velo" w ramach Programu Operacyjnego Pomoc Techniczna 2014-2020</t>
  </si>
  <si>
    <t xml:space="preserve">Dotacja celowa z budżetu państwa na realizację projektu pn. "Zadanie polegające na wzmacnianiu zdolności gmin do programowania i wdrażania działań rewitalizacyjnych" w ramach Programu Operacyjnego Pomoc Techniczna na lata 2014-2020 </t>
  </si>
  <si>
    <t>Środki pochodzące z budżetu Unii Europejskiej na realizację projektu pn.: "Funkcjonowanie Oddziału Programu Współpracy Transgranicznej EIS Polska - Białoruś - Ukraina 2014-2020 w Rzeszowie w latach 2022-2023" w ramach Programu Współpracy Transgranicznej Polska - Białoruś - Ukraina 2014-2020</t>
  </si>
  <si>
    <t xml:space="preserve">Środki pochodzące z budżetu Unii Europejskiej jako refundacja wydatków poniesionych ze środków własnych na realizację projektu pn. „Wspólnie wzbogacamy polsko-słowackie pogranicze” w ramach Programu Współpracy Transgranicznej INTERREG V-A Polska – Słowacja 2014-2020 </t>
  </si>
  <si>
    <t>Dotacja celowa z budżetu państwa na realizację projektu pn. „Zintegrowany i uspołeczniony model planowania przestrzennego poprzez opracowanie Strategii Przestrzennej Rzeszowskiego Obszaru Funkcjonalnego” w ramach Programu Operacyjnego Wiedza, Edukacja, Rozwój na lata 2014 - 2020</t>
  </si>
  <si>
    <t xml:space="preserve">Dotacja celowa z budżetu państwa jako refundacja wydatków poniesionych ze środków własnych na realizację projektu pn. „Wspólnie wzbogacamy polsko-słowackie pogranicze” w ramach Programu Współpracy Transgranicznej INTERREG V-A Polska – Słowacja 2014-2020 </t>
  </si>
  <si>
    <t>Dotacja celowa otrzymane z tytułu pomocy finansowej udzielanej między jednostkami samorządu terytorialnego na dofinansowanie własnych zadań bieżących</t>
  </si>
  <si>
    <t>Zwrot dotacji wykorzystanej niezgodnie z przeznaczeniem na realizację zadania pn. "Projekt wsparcia jednostek samorządu terytorialnegow opracowaniu lub aktualizacji programów rewitalizacji" w ramach Programu Operacyjnego Pomoc techniczna na lata 2014-2020</t>
  </si>
  <si>
    <t>`</t>
  </si>
  <si>
    <t>Środki pochodzące z budżetu Unii Europejskiej na realizację projektu pn."Przygotowanie dokumentacji technicznej i projektowej niezbędnej do rozbudowy sieci turystycznych tras rowerowych na terenie Bieszczad i włączenie ich do szlaku rowerowego Green Velo" w ramach Programu Operacyjnego Pomoc Techniczna 2014-2020</t>
  </si>
  <si>
    <t>'Dotacja celowa z budżetu państwa na realizację projektu pn. "Przygotowanie dokumentacji technicznej i projektowej niezbędnej do rozbudowy sieci turystycznych tras rowerowych na terenie Bieszczad i włączenie ich do szlaku rowerowego Green Velo" w ramach Programu Operacyjnego Pomoc Techniczna 2014-2020</t>
  </si>
  <si>
    <t>Dotacja celowa z budżetu państwa na realizację projektu pn. „Zintegrowany i uspołeczniony model planowania przestrzennego poprzez opracowanie Strategii Przestrzennej Rzeszowskiego Obszaru Funkcjonalnego” w ramach Programu Operacyjnego Wiedza Edukacja Rozwój na lata 2014 - 2020</t>
  </si>
  <si>
    <t>Zwrot części niewykorzystanych dotacji przez beneficjentów Regionalnego Programu Operacyjnego Województwa Podkarpackiego na lata 2014-2020</t>
  </si>
  <si>
    <t>OBRONA NARODOWA</t>
  </si>
  <si>
    <t>Pozostałe wydatki obronne</t>
  </si>
  <si>
    <t>BEZPIECZEŃSTWO PUBLICZNE I OCHRONA PRZECIPOŻAROWA</t>
  </si>
  <si>
    <t>Zarządzanie kryzysowe</t>
  </si>
  <si>
    <t>Dotacja celowa otrzymana z budżetu państwa na zadania bieżące realizowane przez samorząd województwa na podstawie porozumień z organami administracji rządowej</t>
  </si>
  <si>
    <t>Dotacja celowa otrzymana z gminy na zadania bieżące realizowane na podstawie porozumień (umów) między jednostkami samorządu terytorialnego</t>
  </si>
  <si>
    <t>DOCHODY OD OSÓB PRAWNYCH, OD OSÓB FIZYCZNYCH I OD INNYCH JEDNOSTEK NIE POSIADAJĄCYCH OSOBOWOŚCI PRAWNEJ ORAZ WYDATKI ZWIĄZANE Z ICH POBOREM</t>
  </si>
  <si>
    <t>Wpływy z innych opłat stanowiących dochody jednostek samorządu terytorialnego na podstawie ustaw</t>
  </si>
  <si>
    <t>Opłaty eksploatacyjne za wydobywanie węglowodorów ze złóż zlokalizowanych na terenie województwa podkarpackiego</t>
  </si>
  <si>
    <t>0460</t>
  </si>
  <si>
    <t>Opłaty za wydanie zezwoleń na obrót hurtowy napojami alkoholowymi</t>
  </si>
  <si>
    <t>0480</t>
  </si>
  <si>
    <t>Dochody realizowane przez Wojewódzki Urząd Pracy w Rzeszowie</t>
  </si>
  <si>
    <t>Udziały województw w podatkach stanowiących dochód budżetu państwa</t>
  </si>
  <si>
    <t>Udział w podatku dochodowym od osób fizycznych</t>
  </si>
  <si>
    <t>0010</t>
  </si>
  <si>
    <t>Udział w podatku dochodowym od osób prawnych</t>
  </si>
  <si>
    <t>0020</t>
  </si>
  <si>
    <t>RÓŻNE ROZLICZENIA</t>
  </si>
  <si>
    <t>Część oświatowa subwencji ogólnej dla jednostek samorządu terytorialnego</t>
  </si>
  <si>
    <t>Subwencje ogólne z budżetu państwa</t>
  </si>
  <si>
    <t>Uzupełnienie subwencji ogólnej dla jednostek samorządu terytorialnego</t>
  </si>
  <si>
    <t>Środki z rezerwy subwencji ogólnej z przeznaczeniem na dofinansowanie budowy, przebudowy, remontu, utrzymania, ochrony dróg wojewódzkich i zarządzania tymi drogami</t>
  </si>
  <si>
    <t>Subwencje ogólne z budżetu państwa na dofinansowanie budowy, przebudowy, remontu, utrzymania, ochrony dróg wojewódzkich i zarządzania tymi drogami.</t>
  </si>
  <si>
    <t>Środki na inwestycje na drogach publicznych powiatowych i wojewódzkich oraz na drogach powiatowych, wojewódzkich i krajowych w granicach miast na prawach powiatu</t>
  </si>
  <si>
    <t>Część wyrównawcza subwencji ogólnej dla województw</t>
  </si>
  <si>
    <t>Różne rozliczenia finansowe</t>
  </si>
  <si>
    <t xml:space="preserve">Odsetki od lokat wolnych środków budżetowych oraz od środków na rachunkach bankowych </t>
  </si>
  <si>
    <t xml:space="preserve">Środki otrzymane z Funduszu Pomocy utworzonego w związku z Ustawą z dnia 12 marca 2022 roku o pomocy obywatelom Ukrainy w związku z konfliktem zbrojnym na terytorium tego państwa </t>
  </si>
  <si>
    <t>Wpływy do rozliczenia</t>
  </si>
  <si>
    <t>Środki "Rządowego Funduszu Inwestycji Lokalnych" z przeznczeniem na realizację zadań związanych z przeciwdziałaniem Covid-19.</t>
  </si>
  <si>
    <t>6290</t>
  </si>
  <si>
    <t>Rezerwa subwencji ogólnej dla województw</t>
  </si>
  <si>
    <t>2770</t>
  </si>
  <si>
    <t>Część regionalna subwencji ogólnej dla województw</t>
  </si>
  <si>
    <t>2920</t>
  </si>
  <si>
    <t>Regionalne Programy Operacyjne 2014 - 2020 finansowane 
z udziałem środków Europejskiego Funduszu Rozwoju Regionalnego</t>
  </si>
  <si>
    <t>Środki pochodzące z budżetu Unii Europejskiej na realizację projektów własnych w ramach Regionalnego Programu Operacyjnego Województwa Podkarpackiego na lata 2014 - 2020</t>
  </si>
  <si>
    <t>Środki pochodzące z budżetu Unii Europejskiej jako refundacja wydatków poniesionych ze środków własnych na realizację projektów własnych w ramach Regionalnego Programu Operacyjnego Województwa Podkarpackiego na lata 2014 - 2020</t>
  </si>
  <si>
    <t>Dotacja celowa z budżetu państwa na współfinansowanie projektów własnych i realizowanych przez beneficjentów w ramach Regionalnego Programu Operacyjnego Województwa Podkarpackiego na lata 2014 - 2020</t>
  </si>
  <si>
    <t>Dotacja celowa z budżetu państwa na finansowanie wydatków objętych Pomocą Techniczną Regionalnego Programu Operacyjnego Województwa Podkarpackiego na lata 2014 - 2020</t>
  </si>
  <si>
    <t>Dotacja celowa z budżetu państwa na współfinansowanie projektów realizowanych w ramach Regionalnego Programu Operacyjnego Województwa Podkarpackiego na lata 2014 - 2020</t>
  </si>
  <si>
    <t>Dotacja celowa z budżetu państwa na współfinansowanie projektów własnych realizowanych w ramach Regionalnego Programu Operacyjnego Województwa Podkarpackiego na lata 2014 - 2020</t>
  </si>
  <si>
    <t>Dotacja celowa z budżetu państwa jako refundacja wydatków poniesionych ze środków własnych na współfinansowanie projektów własnych realizowanych w ramach Regionalnego Programu Operacyjnego Województwa Podkarpackiego na lata 2014 - 2020</t>
  </si>
  <si>
    <t>Regionalne Programy Operacyjne 2014 - 2020 finansowane z udziałem środków Europejskiego Funduszu Społecznego</t>
  </si>
  <si>
    <t>Dotacja celowa z budżetu państwa na współfinansowanie projektów własnych w ramach Regionalnego Programu Operacyjnego Województwa Podkarpackiego na lata 2014 - 2020</t>
  </si>
  <si>
    <t>Dotacja celowa z budżetu państwa na współfinansowanie projektów własnych i realizowanych przez beneficjentów 
w ramach Regionalnego Programu Operacyjnego Województwa Podkarpackiego na lata 2014 - 2020</t>
  </si>
  <si>
    <t xml:space="preserve">Dotacja celowa z budżetu państwa na finansowanie wydatków objętych Pomocą Techniczną Regionalnego Programu Operacyjnego Województwa Podkarpackiego na lata 2014 – 2020 </t>
  </si>
  <si>
    <t>Programy regionalne 2021-2027 finansowane z udziałem środków Europejskiego Funduszu Rozwoju Regionalnego</t>
  </si>
  <si>
    <t>Dotacja celowa z budżetu państwa na finansowanie wydatków objętych Pomocą Techniczną FEP 2021-2027</t>
  </si>
  <si>
    <t>OŚWIATA I WYCHOWANIE</t>
  </si>
  <si>
    <t>Szkoły podstawowe specjalne</t>
  </si>
  <si>
    <t>Dochody realizowane przez jednostki oświatowe</t>
  </si>
  <si>
    <t>Wpływy do budżetu niewykorzystanych środków finansowych gromadzonych na wyodrębnionym rachunku jednostki budżetowej</t>
  </si>
  <si>
    <t>2400</t>
  </si>
  <si>
    <t>Szkoły policealne</t>
  </si>
  <si>
    <t>Dotacja celowa otrzymana z budżetu państwa na realizację bieżących zadań własnych samorządu województwa</t>
  </si>
  <si>
    <t>2230</t>
  </si>
  <si>
    <t>Szkoły zawodowe</t>
  </si>
  <si>
    <t>Środki pochodzące z budżetu Unii Europejskiej na realizację projektu pn. „POPOJUTRZE 2.0 – KSZTAŁCENIE” w ramach Programu Operacyjnego Wiedza Edukacja Rozwój 2014-2020</t>
  </si>
  <si>
    <t>Dotacja celowa z budżetu państwa na realizację projektu pn. „POPOJUTRZE 2.0 – KSZTAŁCENIE” w ramach Programu Operacyjnego Wiedza Edukacja Rozwój 2014-2020</t>
  </si>
  <si>
    <t>Dokształcanie i doskonalenie nauczycieli</t>
  </si>
  <si>
    <t>Dotacja celowa z budżetu państwa na realizację projektu pn. "Zdrowy styl życia - myślimy globalnie działamy lokalnie" w ramach Programu Edukacja Mechanizmu Finansowego Europejskiego Obszaru Gospodarczego na lata 2014-2021</t>
  </si>
  <si>
    <t>2006</t>
  </si>
  <si>
    <t>Środki pochodzące z budżetu Unii Europejskiej na realizację projektu pn. "Zdrowy styl życia - myślimy globalnie działamy lokalnie" w ramach Programu Edukacja Mechanizmu Finansowego Europejskiego Obszaru Gospodarczego na lata 2014-2021</t>
  </si>
  <si>
    <t>Środki pochodzące z budżetu Unii Europejskiej na realizację projektu pn."Rozwijanie kompetencji kadry dydaktycznej w zakresie doradztwa edukacyjno - zawodowego (makroregion IV)" w ramach Programu Operacyjnego Wiedza Edukacja Rozwój na lata 2014 - 2020</t>
  </si>
  <si>
    <t>Środki pochodzące z budżetu Unii Europejskiej na realizację projektu pn."Podkarpacie Uczy Cyfrowo w ramach projektu Lekcja:Enter" w ramach Programu Operacyjnego Polska Cyfrowa na lata 2014-2020</t>
  </si>
  <si>
    <t>Środki pochodzące z budżetu Unii Europejskiej na realizację projektu pn. "Lekcja:Enter - Podkarpacie Uczy Cyfrowo (II)" w ramach Programu Operacyjnego Polska Cyfrowa na lata 2014-2020</t>
  </si>
  <si>
    <t>Środki pochodzące z budżetu Unii Europejskiej na realizację projektu pn. „Zdalny Nauczyciel = Zdalna Szkoła” w ramach Programu Operacyjnego Wiedza Edukacja Rozwój na lata 2014-2020</t>
  </si>
  <si>
    <t>Środki pochodzące z budżetu Unii Europejskiej na realizację projektu pn. :Lekcja:Enter - Podkarpacie Uczy Cyfrowo III" w ramach Programu Operacyjnego Polska Cyfrowa na lata 2014-2020</t>
  </si>
  <si>
    <t>Dotacja celowa z budżetu państwa na realizację projektu pn. "Lekcja:Enter - Podkarpacie Uczy Cyfrowo (II)" w ramach Programu Operacyjnego Polska Cyfrowa na lata 2014-2020</t>
  </si>
  <si>
    <t>Dotacja celowa z budżetu państwa na realizację projektu pn. „Zdalny Nauczyciel = Zdalna Szkoła” w ramach Projektu Grantowego pn. „Wsparcie placówek doskonalenia nauczycieli i bibliotek pedagogicznych w realizacji zadań związanych z przygotowaniem i wsparciem nauczycieli w prowadzeniu kształcenia na odległość” w ramach Programu Operacyjnego Wiedza Edukacja Rozwój na lata 2014-2020</t>
  </si>
  <si>
    <t>Dotacja celowa z budżetu państwa na realizację projektu pn. "Lekcja:Enter - Podkarpacie Uczy Cyfrowo III" w ramach Programu Operacyjnego Polska Cyfrowa na lata 2014-2020</t>
  </si>
  <si>
    <t>2220</t>
  </si>
  <si>
    <t>Biblioteki pedagogiczne</t>
  </si>
  <si>
    <t xml:space="preserve">Dochody realizowane przez jednostki oświatowe </t>
  </si>
  <si>
    <t>Środki pochodzące z budżetu Unii Europejskiej na realizację projektu pn. "Zdalnie odważni - cyfrowo pewni" w ramach Programu Operacyjnego Wiedza Edukacja Rozwój 2014-2020</t>
  </si>
  <si>
    <t>Dotacja celowa z budżetu państwa na realizację projektu pn. "Zdalnie odważni - cyfrowo pewni" w ramach Programu Operacyjnego Wiedza Edukacja Rozwój 2014-2020</t>
  </si>
  <si>
    <t>Zapewnienie uczniom prawa do bezpłatnego dostępu do podręczników, materiałów edukacyjnych lub materiałów ćwiczeniowych</t>
  </si>
  <si>
    <t>Zwrot stypendium wypłaconego w okresie od października do grudnia 2021 r. z programu „Nie zagubić talentu”</t>
  </si>
  <si>
    <t>Środki pochodzące z budżetu Unii Europejskiej na realizację projektu pn. "Making personal learning experiences possible and visible also in a digital way - Das PerLen-Konzept" w ramach Programu Erasmus+</t>
  </si>
  <si>
    <t>2051</t>
  </si>
  <si>
    <t>Środki pochodzące z budżetu Unii Europejskiej na realizację projektu pn. "Projekt akredytowany - nr 2022-1-PL01-KA121-SCH-000062408 w ramach programu ERASMUS+" w ramach Programu Erasmus+</t>
  </si>
  <si>
    <t xml:space="preserve">Środki otrzymane z Polsko-Litewskiego Funduszu Wymiany Młodzieży oraz od Polsko-Ukraińskiej Rady Wymiany Młodzieży na realizację zadań bieżących </t>
  </si>
  <si>
    <t>2919</t>
  </si>
  <si>
    <t>2959</t>
  </si>
  <si>
    <t>6669</t>
  </si>
  <si>
    <t>6699</t>
  </si>
  <si>
    <t>OCHRONA ZDROWIA</t>
  </si>
  <si>
    <t>Szpitale ogólne</t>
  </si>
  <si>
    <t>Zwrot części niewykorzystanej dotacji przez samodzielne publiczne zakłady opieki zdrowotnej</t>
  </si>
  <si>
    <t>Dotacje celowe otrzymane z budżetu państwa na inwestycje i zakupy inwestycyjne z zakresu administracji rządowej oraz inne zadania zlecone ustawami realizowane przez samorząd województwa</t>
  </si>
  <si>
    <t>Dotacja celowa otrzymana z budżetu państwa na realizację inwestycji i zakupów inwestycyjnych własnych samorządu województwa</t>
  </si>
  <si>
    <t>Zwrot części niewykorzystanej dotacji przez beneficjenta projektu realizowanego w ramach Regionalnego Programu Operacyjnego Województwa Podkarpackiego na lata 2014 - 2020</t>
  </si>
  <si>
    <t>Leczenie sanatoryjno-klimatyczne</t>
  </si>
  <si>
    <t>Dotacje celowe otrzymane z budżetu państwa na inwestycje 
i zakupy inwestycyjne z zakresu administracji rządowej oraz inne zadania zlecone ustawami realizowane przez samorząd województwa</t>
  </si>
  <si>
    <t>Ratownictwo medyczne</t>
  </si>
  <si>
    <t>Dotacja celowa otrzymana z tytułu pomocy finansowej udzielanej między jednostkami samorządu terytorialnego na dofinansowanie własnych zadań inwestycyjnych i zakupów inwestycyjnych</t>
  </si>
  <si>
    <t>Dotacja celowa otrzymana z budżetu państwa na inwestycje i zakupy inwestycyjne z zakresu administracji rządowej oraz inne zadania zlecone ustawami realizowane przez samorząd województwa</t>
  </si>
  <si>
    <t>Medycyna pracy</t>
  </si>
  <si>
    <t>Zwrot części dotacji na zadania realizowane przez samodzielne publiczne zakłady opieki zdrowotnej</t>
  </si>
  <si>
    <t>Zwalczanie narkomanii</t>
  </si>
  <si>
    <t xml:space="preserve">Odsetki od dotacji wykorzystanych niezgodnie z przeznaczeniem, pobranych nienależnie lub w nadmiernej wysokości na realizację zadań z zakresu przeciwdziałania narkomanii </t>
  </si>
  <si>
    <t>Zwrot dotacji wykorzystanych niezgodnie z przeznaczeniem, pobranych nienależnie lub w nadmiernej wysokości na realizację zadań z zakresu przeciwdziałania narkomanii</t>
  </si>
  <si>
    <t>Składki na ubezpieczenie zdrowotne oraz świadczenia dla osób nieobjętych obowiązkiem ubezpieczenia zdrowotnego</t>
  </si>
  <si>
    <t>Staże i specjalizacje medyczne</t>
  </si>
  <si>
    <t>Środki otrzymane z państwowych funduszy celowych na realizację zadań bieżących jednostek sektora finansów publicznych</t>
  </si>
  <si>
    <t xml:space="preserve">Odsetki od zwrotu dotacji wykorzystanej niezgodnie z przeznaczeniem na realizację projektu pn. „Poprawa bezpieczeństwa epidemiologicznego na terenie województwa podkarpackiego w związku z pojawieniem się koronawirusa SARS-CoV-2” realizowanego w ramach Regionalnego Programu Operacyjnego Województwa Podkarpackiego na lata 2014-2020 </t>
  </si>
  <si>
    <t xml:space="preserve">Zwrot przez partnera części dotacji wykorzystanej niezgodnie z przeznaczeniem, pobranej nienależnie lub w nadmiernej wysokości na realizację projektu pn. „Poprawa bezpieczeństwa epidemiologicznego na terenie województwa podkarpackiego w związku z pojawieniem się koronawirusa SARS-CoV-2” w ramach Regionalnego Programu Operacyjnego Województwa Podkarpackiego na lata 2014-2020 </t>
  </si>
  <si>
    <t xml:space="preserve">Zwrotu części niewykorzystanej dotacji przez partnera projektu  realizowanego w ramach Regionalnego Programu Operacyjnego Województwa Podkarpackiego na lata 2014-2020 </t>
  </si>
  <si>
    <t>POMOC SPOŁECZNA</t>
  </si>
  <si>
    <t>Zadania w zakresie przeciwdziałania przemocy w rodzinie</t>
  </si>
  <si>
    <t>Dotacje celowe otrzymane z budżetu państwa na realizację bieżących zadań własnych samorządu województwa</t>
  </si>
  <si>
    <t xml:space="preserve">Zwrotu dotacji wykorzystanych niezgodnie z przeznaczeniem, pobranych nienależnie lub w nadmiernej wysokości na realizację zadań z zakresu przeciwdziałania przemocy w rodzinie </t>
  </si>
  <si>
    <t>Regionalne ośrodki polityki społecznej</t>
  </si>
  <si>
    <t>Dochody realizowane przez Regionalny Ośrodek Polityki Społecznej w Rzeszowie</t>
  </si>
  <si>
    <t>0580</t>
  </si>
  <si>
    <t xml:space="preserve">Odsetki od dotacji wykorzystanych niezgodnie z przeznaczeniem, pobranych nienależnie lub w nadmiernej wysokości na realizację zadań z zakresu pomocy społecznej </t>
  </si>
  <si>
    <t xml:space="preserve">Zwrot dotacji wykorzystanych niezgodnie z przeznaczeniem, pobranych nienależnie lub w nadmiernej wysokości na realizację zadań z zakresu pomocy społecznej </t>
  </si>
  <si>
    <t xml:space="preserve">Zwrot części niewykorzystanych dotacji na realizację zadań z zakresu pomocy społecznej </t>
  </si>
  <si>
    <t>Środki pochodzące z budżetu Unii Europejskiej na realizację projektu pn. "Liderzy kooperacji" w ramach Programu Operacyjnego Wiedza Edukacja Rozwój na lata 2014-2020</t>
  </si>
  <si>
    <t>Środki pochodzące z budżetu Unii Europejskiej na realizację projektu pn. "Kompetencje plus" w ramach Programu Operacyjnego Wiedza Edukacja  Rozwój na lata 2014-2020</t>
  </si>
  <si>
    <t>Dotacja celowa z budżetu państwa na realizację projektu pn. "Liderzy kooperacji" w ramach Programu Operacyjnego Wiedza Edukacja Rozwój na lata 2014-2020</t>
  </si>
  <si>
    <t>Dotacja celowa z budżetu państwa na realizację projektu pn. "Kompetencje plus" w ramach Programu Operacyjnego Wiedza Edukacja Rozwój na lata 2014-2020</t>
  </si>
  <si>
    <t>Środki pochodzące z budżetu Unii Europejskiej jako refundacja wydatków poniesionych ze środków własnych na realizację projektu pn. "Kompetencje plus" w ramach Programu Operacyjnego Wiedza Edukacja Rozwój na lata 2014-2020</t>
  </si>
  <si>
    <t>Środki pochodzące z budżetu Unii Europejskiej na realizację projektu pn. "Kompetencje plus" w ramach Programu Operacyjnego Wiedza Edukacja Rozwój na lata 2014-2020</t>
  </si>
  <si>
    <t>Dotacja celowa z budżetu państwa na realizację projektu pn. "Liderzy kooperacji" w ramach Programu Operacyjnego Wiedza Edukacja Rozwój 2014-2020</t>
  </si>
  <si>
    <t>Dotacja celowa z budżetu państwa jako refundacja wydatków poniesionych ze środków własnych na realizację projektu pn. "Kompetencje plus" w ramach Programu Operacyjnego Wiedza Edukacja Rozwój 2014-2020</t>
  </si>
  <si>
    <t>Dotacja celowa z budżetu państwa na realizację projektu pn. "Kompetencje plus" w ramach Programu Operacyjnego Wiedza Edukacja Rozwój 2014-2020</t>
  </si>
  <si>
    <t>Zwrot części niewykorzystanych dotacji przez Partnera projektu pn. "Kompetencje plus" w ramach Programu Operacyjnego Wiedza Edukacja Rozwój na lata 2014-2020</t>
  </si>
  <si>
    <t>2957</t>
  </si>
  <si>
    <t>Środki pochodzące z budżetu Unii Europejskiej na realizację projektu pn. "Lepsze jutro" w ramach Programu Operacyjnego Wiedza Edukacja Rozwój na lata 2014-2020</t>
  </si>
  <si>
    <t>Dotacja celowa z budżetu państwa na realizację projektu pn. "Lepsze jutro" w ramach Programu Operacyjnego Wiedza Edukacja Rozwój na lata 2014-2020</t>
  </si>
  <si>
    <t>Zwrot części niewykorzystanych dotacji przez beneficjentów projektów realizowanych w ramach Regionalnego Programu Operacyjnego Województwa Podkarpackiego na lata 2014-2020</t>
  </si>
  <si>
    <t>POZOSTAŁE ZADANIA W ZAKRESIE POLITYKI SPOŁECZNEJ</t>
  </si>
  <si>
    <t>Rehabilitacja zawodowa i społeczna osób niepełnosprawnych</t>
  </si>
  <si>
    <t>Odsetki od dotacji wykorzystanych niezgodnie z przeznaczeniem, pobranych nienależnie lub w nadmiernej wysokości na realizację zadań  wynikających z Wojewódzkiego Programu Na Rzecz Wyrównywania Szans Osób Niepełnosprawnych i Przeciwdziałania Ich Wykluczeniu Społecznemu na lata 2021-2030</t>
  </si>
  <si>
    <t>Zwrot części niewykorzystanych dotacji oraz dotacji wykorzystanych niezgodnie z przeznaczeniem, pobranych nienależnie lub w nadmiernej wysokości przez organizacje pozarządowe realizujące zadania wynikające z Wojewódzkiego Programu Na Rzecz Wyrównywania Szans Osób Niepełnosprawnych i Przeciwdziałania Ich Wykluczeniu Społecznemu na lata 2021-2030</t>
  </si>
  <si>
    <t>Państwowy Fundusz Rehabilitacji Osób Niepełnosprawnych</t>
  </si>
  <si>
    <t xml:space="preserve">Wpływ 2,5% odpisu ze środków Państwowego Funduszu Rehabilitacji Osób Niepełnosprawnych </t>
  </si>
  <si>
    <t>Wojewódzkie Urzędy Pracy</t>
  </si>
  <si>
    <t>0948</t>
  </si>
  <si>
    <t>Dotacja celowa z budżetu państwa na współfinansowanie projektów w ramach Programu Operacyjnego Wiedza Edukacja Rozwój na lata 2014 - 2020</t>
  </si>
  <si>
    <t>2009</t>
  </si>
  <si>
    <t>Dotacja celowa z budżetu państwa na finansowanie wydatków objętych Pomocą Techniczną Programu Operacyjnego Wiedza Edukacja Rozwój na lata 2014 - 2020</t>
  </si>
  <si>
    <t>Środki z Funduszu Gwarantowanych Świadczeń Pracowniczych</t>
  </si>
  <si>
    <t>2440</t>
  </si>
  <si>
    <t>Wpływy ze zwrotów dotacji oraz płatności wykorzystanych niezgodnie z przeznaczeniem lub wykorzystanych z naruszeniem procedur, o których mowa w art. 184 ustawy, pobranych nienależnie lub w nadmiernej wysokości</t>
  </si>
  <si>
    <t>2918</t>
  </si>
  <si>
    <t>Wpływy z pozostałych odsetek</t>
  </si>
  <si>
    <t>Wpływy z różnych dochodów</t>
  </si>
  <si>
    <t>Środki pochodzące z budżetu Unii Europejskiej na realizację projektu pn. „Standardy w zakresie mieszkalnictwa wspomaganego dla osób chorujących psychicznie po wielokrotnych pobytach w szpitalach psychiatrycznych" w ramach Programu Operacyjnego Wiedza Edukacja Rozwój na lata 2014-2020</t>
  </si>
  <si>
    <t xml:space="preserve">Dotacja celowa z budżetu państwa na współfinansowanie wydatków na realizację projektu pn. „Standardy w zakresie mieszkalnictwa wspomaganego dla osób chorujących psychicznie po wielokrotnych pobytach w szpitalach psychiatrycznych" w ramach Programu Operacyjnego Wiedza Edukacja Rozwój 2014-2020 </t>
  </si>
  <si>
    <t>Zwrot części dotacji wykorzystanych niezgodnie z przeznaczeniem, pobranych nienależnie lub w nadmiernej wysokości przez beneficjentów projektów realizowanych w ramach Programu Operacyjnego Wiedza Edukacja Rozwój na lata 2014-2020</t>
  </si>
  <si>
    <r>
      <t xml:space="preserve">Zwrot części dotacji wykorzystanych niezgodnie z przeznaczeniem, pobranych nienależnie lub w nadmiernej wysokości przez beneficjentów projektów realizowanych w ramach Programu Operacyjnego Kapitał Ludzki          </t>
    </r>
    <r>
      <rPr>
        <u/>
        <sz val="10"/>
        <rFont val="Arial"/>
        <family val="2"/>
        <charset val="238"/>
      </rPr>
      <t xml:space="preserve">  </t>
    </r>
  </si>
  <si>
    <t>EDUKACYJNA OPIEKA WYCHOWAWCZA</t>
  </si>
  <si>
    <t>Internaty i bursy szkolne</t>
  </si>
  <si>
    <t>RODZINA</t>
  </si>
  <si>
    <t>Wspieranie rodziny</t>
  </si>
  <si>
    <t xml:space="preserve">Środki pochodzące z budżetu UE jako refundacja wydatków poniesionych ze środków własnych na realizację projektu pn. „Bliżej rodziny - szkolenia dla kadr systemów wspierania rodziny i pieczy zastępczej” w ramach Programu Operacyjnego Wiedza, Edukacja, Rozwój 2014-2020 </t>
  </si>
  <si>
    <t xml:space="preserve">Dotacja celowa z budżetu państwa jako refundacja wydatków poniesionych ze środków własnych na realizację projektu pn. „Bliżej rodziny - szkolenia dla kadr systemów wspierania rodziny i pieczy zastępczej” w ramach Programu Operacyjnego Wiedza, Edukacja, Rozwój 2014-2020 </t>
  </si>
  <si>
    <t>Zwrot dotacji wykorzystanych niezgodnie z przeznaczeniem, pobranych nienależnie lub w nadmiernej wysokości na realizację zadań z zakresu wspierania rodziny</t>
  </si>
  <si>
    <t>Działalność ośrodków adopcyjnych</t>
  </si>
  <si>
    <t>Działalność placówek opiekuńczo - wychowawczych</t>
  </si>
  <si>
    <t>Dotacje celowe otrzymane z powiatu na zadania bieżące realizowane na podstawie porozumień (umów) między jednostkami samorządu terytorialnego</t>
  </si>
  <si>
    <t>2320</t>
  </si>
  <si>
    <t>Zwrot części otrzymanej w 2019 r. dotacji celowej na realizację zadań w zakresie prowadzenia regionalnych placówek opiekuńczo - terapeutycznych na terenie województwa podkarpackiego</t>
  </si>
  <si>
    <t>GOSPODARKA KOMUNALNA I OCHRONA ŚRODOWISKA</t>
  </si>
  <si>
    <t>Ochrona powietrza atmosferycznego i klimatu</t>
  </si>
  <si>
    <t>Wpływy i wydatki związane z gromadzeniem środków 
z opłat i kar za korzystanie ze środowiska</t>
  </si>
  <si>
    <t>3% wpływu z tytułu opłat za korzystanie ze środowiska</t>
  </si>
  <si>
    <t>Wpływy i wydatki związane z gromadzeniem środków 
z opłat produktowych</t>
  </si>
  <si>
    <t>1% wpływu z tytułu opłaty recyklingowej za opakowania</t>
  </si>
  <si>
    <t>0240</t>
  </si>
  <si>
    <t xml:space="preserve">2% i 10% wpływu z tytułu opłaty produktowej oraz dodatkowej opłaty produktowej </t>
  </si>
  <si>
    <t>0400</t>
  </si>
  <si>
    <t xml:space="preserve">5 % wpływu z tytułu opłat za nieosiągnięcie wymaganego poziomu odzysku i recyklingu odpadów pochodzących z pojazdów wycofanych z eksploatacji </t>
  </si>
  <si>
    <t>0530</t>
  </si>
  <si>
    <t>10% wpływu z tytułu opłat na publiczne kampanie edukacyjne</t>
  </si>
  <si>
    <t xml:space="preserve">Wpływy i wydatki związane z wprowadzeniem do obrotu baterii i akumulatorów </t>
  </si>
  <si>
    <t>5% wpływu z tytułu opłat za wprowadzanie do obrotu baterii i akumulatorów</t>
  </si>
  <si>
    <t>Pozostałe zadania związane z gospodarką odpadami</t>
  </si>
  <si>
    <t>35,65% wpływu z opłaty rejestrowej i opłaty rocznej od podmiotów wprowadzających produkty, produkty w opakowaniach i gospodarujących odpadami</t>
  </si>
  <si>
    <t>Wpływ z tytułu opłat za udostępnianie informacji o środowisku</t>
  </si>
  <si>
    <t>Oosetki od zwrotu części dotacji wykorzystanej niezgodnie z przenaczeniem na realizację zadania w ramach Podkarpackiego Programu Odnowy Wsi na lata 2017-2020</t>
  </si>
  <si>
    <t>KULTURA I OCHRONA DZIEDZICTWA NARODOWEGO</t>
  </si>
  <si>
    <t>Filharmonie, orkiestry, chóry i kapele</t>
  </si>
  <si>
    <t xml:space="preserve">Biblioteki </t>
  </si>
  <si>
    <t>Odsetki od dotacji  wykorzystanych niezgodnie z przeznaczeniem, pobranych nienależnie lub w nadmiernej wysokości na realizację zadańz zakresu kultury</t>
  </si>
  <si>
    <t xml:space="preserve">Dotacje celowe otrzymane z gminy na zadania bieżące realizowane na podstawie porozumień (umów) między jednostkami samorządu terytorialnego </t>
  </si>
  <si>
    <t>Dotacje celowe otrzymane z powiatu na zadania realizowane na podstawie porozumień (umów) między jednostkami samorządu terytorialnego</t>
  </si>
  <si>
    <t>Zwrot części dotacji wykorzystanych niezgodnie z przeznaczeniem, pobranych nienależnie lub w nadmiernej wysokości na realizację zadań z zakresu kultury</t>
  </si>
  <si>
    <t>Środki pochodzące z budżetu Unii Europejskiej jako refundacja wydatków poniesionych ze środków własnych na realizację projektu pn. "CRinMA- Cultural Resources in the Mountain Area" w ramach Programu Interreg Europa na lata 2014 - 2020</t>
  </si>
  <si>
    <t>OGRODY BOTANICZNE I ZOOLOGICZNE ORAZ NATURALNE OBSZARY I OBIEKTY CHRONIONEJ PRZYRODY</t>
  </si>
  <si>
    <t>Parki krajobrazowe</t>
  </si>
  <si>
    <t>DOCHODY OGÓŁEM</t>
  </si>
  <si>
    <t>w tym:</t>
  </si>
  <si>
    <t>dochody bieżące</t>
  </si>
  <si>
    <t xml:space="preserve">finansowane z dotacji </t>
  </si>
  <si>
    <t>finansowane z dochodów własnych</t>
  </si>
  <si>
    <t>dochody majątkowe</t>
  </si>
  <si>
    <t>Tabela porównawcza wydatków ujętych w projekcie uchwały budżetowej na 2023r. 
z przewidywanym wykonaniem wydatków w roku 2022 w szczegółowości 
dział, rozdział, grupy wydatków, paragrafy klasyfikacji budżetowej</t>
  </si>
  <si>
    <t>Wyszczególnienie</t>
  </si>
  <si>
    <t>Plan wg uchwały budżetowej</t>
  </si>
  <si>
    <t>Plan wydatków na 2022r. wg stanu na 31.08.2022r. - przewidywane wykonanie wydatków w 2022r.</t>
  </si>
  <si>
    <t>Plan na 2023r.</t>
  </si>
  <si>
    <t>Rolnictwo i łowiectwo</t>
  </si>
  <si>
    <t>Biura geodezji i terenów rolnych</t>
  </si>
  <si>
    <t>wydatki bieżące:</t>
  </si>
  <si>
    <t>wydatki jednostek budżetowych w tym na:</t>
  </si>
  <si>
    <t xml:space="preserve"> - wynagrodzenia i składki od nich naliczane</t>
  </si>
  <si>
    <t>RG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</si>
  <si>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</si>
  <si>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</si>
  <si>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</si>
  <si>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</si>
  <si>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</si>
  <si>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</si>
  <si>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</si>
  <si>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 oraz Fundusz Solidarnościowy</t>
  </si>
  <si>
    <t>4170</t>
  </si>
  <si>
    <t>Wynagrodzenia bezosobowe</t>
  </si>
  <si>
    <t>4710</t>
  </si>
  <si>
    <t>Wpłaty na PPK finansowane przez podmiot zatrudniający</t>
  </si>
  <si>
    <t xml:space="preserve"> - wydatki związane z realizacją zadań statutowych jednostek budżetowych</t>
  </si>
  <si>
    <t>4140</t>
  </si>
  <si>
    <t>Wpłaty na Państwowy Fundusz Rehabilitacji Osób Niepełnosprawnych</t>
  </si>
  <si>
    <t>4210</t>
  </si>
  <si>
    <t>Zakup materiałów i wyposażenia</t>
  </si>
  <si>
    <t>4220</t>
  </si>
  <si>
    <t>Zakup środków żywności</t>
  </si>
  <si>
    <t>4260</t>
  </si>
  <si>
    <t>Zakup energii</t>
  </si>
  <si>
    <t>4270</t>
  </si>
  <si>
    <t>Zakup usług remontowych</t>
  </si>
  <si>
    <t>4280</t>
  </si>
  <si>
    <t>Zakup usług zdrowotnych</t>
  </si>
  <si>
    <t>4300</t>
  </si>
  <si>
    <t>Zakup usług pozostałych</t>
  </si>
  <si>
    <t>4360</t>
  </si>
  <si>
    <t>Opłaty z tytułu zakupu usług telekomunikacyjnych</t>
  </si>
  <si>
    <t>4390</t>
  </si>
  <si>
    <t>Zakup usług obejmujących wykonanie ekspertyz, analiz i opinii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</si>
  <si>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</si>
  <si>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</si>
  <si>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</si>
  <si>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</si>
  <si>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</si>
  <si>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</si>
  <si>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</si>
  <si>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</si>
  <si>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</si>
  <si>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</si>
  <si>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4510</t>
  </si>
  <si>
    <t>Opłaty na rzecz budżetu państwa</t>
  </si>
  <si>
    <t>4520</t>
  </si>
  <si>
    <t>Opłaty na rzecz budżetów jednostek samorządu terytorialnego</t>
  </si>
  <si>
    <t>4530</t>
  </si>
  <si>
    <t>Podatek od towarów i usług (VAT)</t>
  </si>
  <si>
    <t>4700</t>
  </si>
  <si>
    <t xml:space="preserve">Szkolenia pracowników niebędących członkami korpusu służby cywilnej </t>
  </si>
  <si>
    <t>świadczenia na rzecz osób fizycznych:</t>
  </si>
  <si>
    <t>3020</t>
  </si>
  <si>
    <t>Wydatki osobowe niezaliczone do wynagrodzeń</t>
  </si>
  <si>
    <t>wydatki majątkowe:</t>
  </si>
  <si>
    <t>inwestycje i zakupy inwestycyjne</t>
  </si>
  <si>
    <t>6060</t>
  </si>
  <si>
    <t>Wydatki inwestycyjne jednostek budżetowych</t>
  </si>
  <si>
    <t>01006</t>
  </si>
  <si>
    <t>Zarządy melioracji i urządzeń wodnych</t>
  </si>
  <si>
    <t>Składki na Fundusz Pracy</t>
  </si>
  <si>
    <t>01008</t>
  </si>
  <si>
    <t>Melioracje wodne</t>
  </si>
  <si>
    <t>4500</t>
  </si>
  <si>
    <t>Pozostałe podatki na rzecz budżetów jednostek samorządu terytorialnego</t>
  </si>
  <si>
    <t>6050</t>
  </si>
  <si>
    <t>6660</t>
  </si>
  <si>
    <t>Zwroty dotacji oraz płatności wykorzystanych niezgodnie z przeznaczeniem lub wykorzystanych z naruszeniem procedur, o których mowa w art. 184 ustawy, pobranych nienależnie lub w nadmiernej wysokości, dotyczące wydatków majątkowych</t>
  </si>
  <si>
    <t>- wydatki na programy finansowane z udziałem środków UE i źródeł zagranicznych</t>
  </si>
  <si>
    <t xml:space="preserve">Program Rozwoju Obszarów Wiejskich </t>
  </si>
  <si>
    <t>OW</t>
  </si>
  <si>
    <t>wydatki na programy finansowane z udziałem środków UE i źródeł zagranicznych</t>
  </si>
  <si>
    <t>2008</t>
  </si>
  <si>
    <t>Dotacje celowe w ramach programów finansowanych z udziałem środków europejskich oraz środków, o których mowa w art. 5 ust. 1 pkt 3 oraz ust.3 pkt 5 i 6 ustawy, lub płatności w ramach budżetu środków europejskich, z wyłączeniem wydatków klasyfikowanych w paragrafie 205</t>
  </si>
  <si>
    <t>Dotacje celowe w ramach programów finansowanych z udziałem środków europejskich oraz środków, o których mowa w art.. 5 ust. 3 pkt 5 lit. a i b ustawy, lub płatności w ramach budżetu środków europejskich, realizowanych przez jednostki samorządu terytorialnego</t>
  </si>
  <si>
    <t xml:space="preserve">Zwrot dotacji oraz płatności wykorzystanych niezgodnie z przeznaczeniem lub wykorzystanych z naruszeniem procedur, o których mowa w art.. 184 ustawy, pobranych nienależnie lub w nadmiernej wysokości </t>
  </si>
  <si>
    <t>4018</t>
  </si>
  <si>
    <t>4019</t>
  </si>
  <si>
    <t>4048</t>
  </si>
  <si>
    <t>4049</t>
  </si>
  <si>
    <t>4118</t>
  </si>
  <si>
    <t>4119</t>
  </si>
  <si>
    <t>4128</t>
  </si>
  <si>
    <t>4129</t>
  </si>
  <si>
    <t>4178</t>
  </si>
  <si>
    <t>4179</t>
  </si>
  <si>
    <t>4198</t>
  </si>
  <si>
    <t>Nagrody konkursowe</t>
  </si>
  <si>
    <t>4199</t>
  </si>
  <si>
    <t>4218</t>
  </si>
  <si>
    <t>4219</t>
  </si>
  <si>
    <t>4278</t>
  </si>
  <si>
    <t>4279</t>
  </si>
  <si>
    <t>4308</t>
  </si>
  <si>
    <t>4309</t>
  </si>
  <si>
    <t>4398</t>
  </si>
  <si>
    <t>4399</t>
  </si>
  <si>
    <t>4418</t>
  </si>
  <si>
    <t>4419</t>
  </si>
  <si>
    <t>4438</t>
  </si>
  <si>
    <t>4439</t>
  </si>
  <si>
    <t>4569</t>
  </si>
  <si>
    <t>Odsetki od dotacji oraz płatności: wykorzystanych niezgodnie z przeznaczeniem lub wykorzystanych z naruszeniem procedur, o których mowa w art. 184 ustawy, pobranych nienależnie lub w nadmiernej wysokości</t>
  </si>
  <si>
    <t>4708</t>
  </si>
  <si>
    <t>4709</t>
  </si>
  <si>
    <t>4718</t>
  </si>
  <si>
    <t>4719</t>
  </si>
  <si>
    <t>dotacje na zadania bieżące:</t>
  </si>
  <si>
    <t>2310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</si>
  <si>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</si>
  <si>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</si>
  <si>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Wydatki na zakupy inwestycyjne jednostek budżetowych</t>
  </si>
  <si>
    <t>6610</t>
  </si>
  <si>
    <t>Dotacje celowe przekazane gminie na inwestycje i zakupy inwestycyjne realizowane na podstawie porozumień (umów) między jednostkami samorządu terytorialnego</t>
  </si>
  <si>
    <t>6620</t>
  </si>
  <si>
    <t>Dotacje celowe przekazane dla powiatu na inwestycje i zakupy inwestycyjne realizowane na podstawie porozumień (umów) między jednostkami samorządu terytorialnego</t>
  </si>
  <si>
    <t>01078</t>
  </si>
  <si>
    <t>Usuwanie skutków klęsk żywiołowych</t>
  </si>
  <si>
    <t>Zwrot dotacji oraz płatności, w tym wykorzystanych niezgodnie z przeznaczeniem lub wykorzystanych z naruszeniem procedur, o których mowa w art.. 184 ustawy, pobranych nienależnie lub w nadmiernej wysokości, dotyczące wydatków majątkowych</t>
  </si>
  <si>
    <t>OR</t>
  </si>
  <si>
    <t>4190</t>
  </si>
  <si>
    <t>4560</t>
  </si>
  <si>
    <t xml:space="preserve">Odsetki od dotacji oraz płatności: wykorzystanych niezgodnie z przeznaczeniem lub wykorzystanych z naruszeniem procedur, o których mowa w art. 184 ustawy, pobranych nienależnie lub w nadmiernej wysokości </t>
  </si>
  <si>
    <t>4590</t>
  </si>
  <si>
    <t>Kary i odszkodowania wypłacane na rzecz osób fizycznych</t>
  </si>
  <si>
    <t>4610</t>
  </si>
  <si>
    <t>Koszty postępowania sądowego i prokuratorskiego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</si>
  <si>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</si>
  <si>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Rybołówstwo i rybactwo</t>
  </si>
  <si>
    <t>Program Operacyjny Zrównoważony rozwój sektora rybołówstwa i nadbrzeżnych obszarów rybackich 2007-2013 oraz Program Operacyjny Rybactwo i Morze 2014-2020</t>
  </si>
  <si>
    <t>Zakup usług obejmujących wykonywanie ekspertyz, analiz i opinii</t>
  </si>
  <si>
    <t>Przetwórstwo przemysłowe</t>
  </si>
  <si>
    <t>Dotacje celowe w ramach programów finansowanych z udziałem środków europejskich oraz środków, o których mowa w art. 5 ust. 1 pkt. 3 oraz ust. 3 pkt. 5 i 6 ustawy, lub płatności w ramach budżetu środków europejskich, z wyłączeniem wydatków klasyfikowanych w paragrafie 205</t>
  </si>
  <si>
    <t>RP</t>
  </si>
  <si>
    <t>0</t>
  </si>
  <si>
    <t>Zwrot niewykorzystanych dotacji oraz płatności</t>
  </si>
  <si>
    <t>GR</t>
  </si>
  <si>
    <t>4017</t>
  </si>
  <si>
    <t>4047</t>
  </si>
  <si>
    <t>4117</t>
  </si>
  <si>
    <t>4127</t>
  </si>
  <si>
    <t>Składki na Fundusz Pracy oraz Solidarnościowy Fundusz Wsparcia Osób Niepełnosprawnych</t>
  </si>
  <si>
    <t>4217</t>
  </si>
  <si>
    <t>4307</t>
  </si>
  <si>
    <t>4397</t>
  </si>
  <si>
    <t>4417</t>
  </si>
  <si>
    <t>4707</t>
  </si>
  <si>
    <t>4717</t>
  </si>
  <si>
    <t>6067</t>
  </si>
  <si>
    <t>6207</t>
  </si>
  <si>
    <t>Dotacje celowe w ramach programów finansowanych z udziałem środków europejskich oraz środków, o których mowa w art. 5 ust. 1 pkt. 3 oraz ust. 3 pkt. 5 i 6 ustawy, lub płatności w ramach budżetu środków europejskich, z wyłączeniem wydatków klasyfikowanych w paragrafie 625</t>
  </si>
  <si>
    <t>6209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</si>
  <si>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</si>
  <si>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600</t>
  </si>
  <si>
    <t>Transport i łączność</t>
  </si>
  <si>
    <t>DT</t>
  </si>
  <si>
    <t>60001</t>
  </si>
  <si>
    <t>4580</t>
  </si>
  <si>
    <t>Pozostałe odsetki</t>
  </si>
  <si>
    <t>Dotacja celowa na pomoc finansową udzielaną między jednostkami samorządu terytorialnego na dofinansowanie własnych zadań bieżących</t>
  </si>
  <si>
    <t>2830</t>
  </si>
  <si>
    <t>Dotacja celowa z budżetu na finansowanie lub dofinansowanie zadań zleconych do realizacji pozostałym jednostkom niezaliczanym do sektora finansów publicznych</t>
  </si>
  <si>
    <t>Wpływy ze zwrotów niewykorzystanych dotacji oraz płatności</t>
  </si>
  <si>
    <t>6069</t>
  </si>
  <si>
    <t>60002</t>
  </si>
  <si>
    <t>6057</t>
  </si>
  <si>
    <t>6059</t>
  </si>
  <si>
    <t>Dotacje celowe w ramach programów finansowanych z udziałem środków europejskich oraz środków, o których mowa w art. 5 ust. 1 pkt. 3 oraz ust. 3 pkt. 5 i 6 ustawy, lub płatności w ramach budżetu środków europejskich</t>
  </si>
  <si>
    <t>60003</t>
  </si>
  <si>
    <t>2630</t>
  </si>
  <si>
    <t xml:space="preserve">Dotacja przedmiotowa z budżetu dla jednostek niezaliczanych do sektora finansów publicznych </t>
  </si>
  <si>
    <t>2800</t>
  </si>
  <si>
    <t>Dotacja celowa z budżetu dla pozostałych jednostek zaliczanych do sektora finansów publicznych</t>
  </si>
  <si>
    <t>60004</t>
  </si>
  <si>
    <t>60013</t>
  </si>
  <si>
    <t>4420</t>
  </si>
  <si>
    <t>Podróże służbowe zagraniczne</t>
  </si>
  <si>
    <t>4600</t>
  </si>
  <si>
    <t>Kary, odszkodowania i grzywny wypłacane na rzecz osób prawnych i innych jednostek organizacyjnych</t>
  </si>
  <si>
    <t xml:space="preserve"> inwestycje i zakupy inwestycyjne</t>
  </si>
  <si>
    <t>6058</t>
  </si>
  <si>
    <t>6068</t>
  </si>
  <si>
    <t>6100</t>
  </si>
  <si>
    <t>Wydatki na zadania inwestycyjne realizowane ze środków otrzymanych z Rządowego Funduszu Inwestycji Lokalnych</t>
  </si>
  <si>
    <t>6370</t>
  </si>
  <si>
    <t>Wydatki na zakupy inwestycyjne związane z pomocą obywatelom Ukrainy</t>
  </si>
  <si>
    <t>Dotacja celowa przekazana gminie na inwestycje i zakupy inwestycyjne realizowane na podstawie porozumień (umów) między jednostkami samorządu terytorialnego</t>
  </si>
  <si>
    <t>6667</t>
  </si>
  <si>
    <t>60014</t>
  </si>
  <si>
    <t>Drogi publiczne powiatowe</t>
  </si>
  <si>
    <t>6300</t>
  </si>
  <si>
    <t>Dotacja celowa na pomoc finansową  udzielaną między jednostkami samorządu terytorialnego na dofinansowanie własnych zadań inwestycyjnych i zakupów inwestycyjnych</t>
  </si>
  <si>
    <t>60015</t>
  </si>
  <si>
    <t>Drogi publiczne w miastach na prawach powiatu</t>
  </si>
  <si>
    <t>Wydatki majątkowe:</t>
  </si>
  <si>
    <t xml:space="preserve"> - inwestycyjne i zakupy inwestycyjne</t>
  </si>
  <si>
    <t>60016</t>
  </si>
  <si>
    <t>Drogi publiczne gminne</t>
  </si>
  <si>
    <t>60017</t>
  </si>
  <si>
    <t>Drogi wewnętrzne</t>
  </si>
  <si>
    <t>60078</t>
  </si>
  <si>
    <t>60095</t>
  </si>
  <si>
    <t>zakup i objęcie akcji i udziałów</t>
  </si>
  <si>
    <t>6010</t>
  </si>
  <si>
    <t>Wydatki na zakup i objęcie akcji, wniesienie wkładów do spółek prawa handlowego oraz na uzupełnienie funduszy statutowych banków państwowych i innych instytucji finansowych</t>
  </si>
  <si>
    <t>630</t>
  </si>
  <si>
    <t>Turystyka</t>
  </si>
  <si>
    <t>63003</t>
  </si>
  <si>
    <t>PG</t>
  </si>
  <si>
    <t xml:space="preserve">Dotacje celowe z budżetu jednostki samorządu terytorialnego, udzielone w trybie art. 221 ustawy, na finansowanie lub dofinansowanie zadań zleconych do realizacji organizacjom prowadzącym działalność pożytku publicznego </t>
  </si>
  <si>
    <t>4380</t>
  </si>
  <si>
    <t>Zakup usług obejmujących tłumaczenia</t>
  </si>
  <si>
    <t>4388</t>
  </si>
  <si>
    <t>4389</t>
  </si>
  <si>
    <t>4428</t>
  </si>
  <si>
    <t>4429</t>
  </si>
  <si>
    <t>63095</t>
  </si>
  <si>
    <t>Dotacje celowe przekazane do samorządu województwa na zadania bieżące realizowane na podstawie porozumień (umów) między jednostkami samorządu terytorialnego</t>
  </si>
  <si>
    <t>2005</t>
  </si>
  <si>
    <t>4015</t>
  </si>
  <si>
    <t>4016</t>
  </si>
  <si>
    <t>4115</t>
  </si>
  <si>
    <t>4116</t>
  </si>
  <si>
    <t>4125</t>
  </si>
  <si>
    <t>4126</t>
  </si>
  <si>
    <t>4215</t>
  </si>
  <si>
    <t>4216</t>
  </si>
  <si>
    <t>4305</t>
  </si>
  <si>
    <t>4306</t>
  </si>
  <si>
    <t>4385</t>
  </si>
  <si>
    <t>4386</t>
  </si>
  <si>
    <t>4415</t>
  </si>
  <si>
    <t>4416</t>
  </si>
  <si>
    <t>4425</t>
  </si>
  <si>
    <t>4426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</si>
  <si>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</si>
  <si>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700</t>
  </si>
  <si>
    <t>Gospodarka mieszkaniowa</t>
  </si>
  <si>
    <t>70005</t>
  </si>
  <si>
    <t>4370</t>
  </si>
  <si>
    <t>Zakup usług związanych z pomocą obywatelom Ukrainy</t>
  </si>
  <si>
    <t>OZ</t>
  </si>
  <si>
    <t xml:space="preserve">Dotacja celowa na pomoc finansową udzielaną między jednostkami samorządu terytorialnego na dofinansowanie własnych zadań bieżących </t>
  </si>
  <si>
    <t>6390</t>
  </si>
  <si>
    <t>Środki na finansowanie lub dofinansowanie inwestycji i zakupów inwestycyjnych w zakresie pomocy obywatelom Ukrainy</t>
  </si>
  <si>
    <t>6490</t>
  </si>
  <si>
    <t>70095</t>
  </si>
  <si>
    <t>710</t>
  </si>
  <si>
    <t>Działalność usługowa</t>
  </si>
  <si>
    <t>71003</t>
  </si>
  <si>
    <t>RR</t>
  </si>
  <si>
    <t>Zakup środków żywnościowych</t>
  </si>
  <si>
    <t>4240</t>
  </si>
  <si>
    <t>Zakup środków dydaktycznych i książek</t>
  </si>
  <si>
    <t>71004</t>
  </si>
  <si>
    <t>Plany zagospodarowania przestrzennego</t>
  </si>
  <si>
    <t>71012</t>
  </si>
  <si>
    <t>Opłata z tytułu zakupu usług telekomunikacyjnych</t>
  </si>
  <si>
    <t>Zwroty dotacji oraz płatności wykorzystanych niezgodnie z przeznaczeniem lub wykorzystanych z naruszeniem procedur, o których mowa w art. 184 ustawy, pobranych nienależnie lub w nadmiernej wysokości</t>
  </si>
  <si>
    <t>71035</t>
  </si>
  <si>
    <t>Cmentarze</t>
  </si>
  <si>
    <t>720</t>
  </si>
  <si>
    <t>Informatyka</t>
  </si>
  <si>
    <t>72095</t>
  </si>
  <si>
    <t>4570</t>
  </si>
  <si>
    <t>Odsetki od nieterminowych wpłat z tytułu pozostałych podatków i opłat</t>
  </si>
  <si>
    <t>730</t>
  </si>
  <si>
    <t>Szkolnictwo wyższe i nauka</t>
  </si>
  <si>
    <t>73006</t>
  </si>
  <si>
    <t>Działalność upowszechniająca naukę</t>
  </si>
  <si>
    <t>73016</t>
  </si>
  <si>
    <t>EN</t>
  </si>
  <si>
    <t>3250</t>
  </si>
  <si>
    <t>Stypendia różne</t>
  </si>
  <si>
    <t>73095</t>
  </si>
  <si>
    <t>KS</t>
  </si>
  <si>
    <t>2260</t>
  </si>
  <si>
    <t>Dotacja podmiotowa z budżetu dla jednostek systemu szkolnictwa wyższego i nauki niezaliczanych do sektora finansów publicznych</t>
  </si>
  <si>
    <t>2270</t>
  </si>
  <si>
    <t>Dotacja podmiotowa z budżetu dla jednostek systemu szkolnictwa wyższego i nauki zaliczanych do sektora finansów publicznych</t>
  </si>
  <si>
    <t>4177</t>
  </si>
  <si>
    <t>4387</t>
  </si>
  <si>
    <t>4427</t>
  </si>
  <si>
    <t>6220</t>
  </si>
  <si>
    <t>Dotacje celowe z budżetu na finansowanie lub dofinansowanie kosztów realizacji inwestycji i zakupów inwestycyjnych innych jednostek sektora finansów publicznych</t>
  </si>
  <si>
    <t>6230</t>
  </si>
  <si>
    <t>Dotacje celowe z budżetu na finansowanie lub dofinansowanie kosztów realizacji inwestycji i zakupów inwestycyjnych jednostek niezaliczanych do sektora finansów publicznych</t>
  </si>
  <si>
    <t>6697</t>
  </si>
  <si>
    <t>Zwroty niewykorzystanych dotacji oraz płatności, dotyczące wydatków majątkowych</t>
  </si>
  <si>
    <t>750</t>
  </si>
  <si>
    <t>Administracja publiczna</t>
  </si>
  <si>
    <t>75011</t>
  </si>
  <si>
    <t>75017</t>
  </si>
  <si>
    <t>Samorządowe sejmiki województw</t>
  </si>
  <si>
    <t>3030</t>
  </si>
  <si>
    <t xml:space="preserve">Różne wydatki na rzecz osób fizycznych </t>
  </si>
  <si>
    <t>75018</t>
  </si>
  <si>
    <t>wydatki bieżące</t>
  </si>
  <si>
    <t>OR RG DT</t>
  </si>
  <si>
    <t>OR DT</t>
  </si>
  <si>
    <t>KZ OR RG DT</t>
  </si>
  <si>
    <t>KZ OR RG DT OZ</t>
  </si>
  <si>
    <t>RG DT</t>
  </si>
  <si>
    <t>Różne wydatki na rzecz osób fizycznych</t>
  </si>
  <si>
    <t>3028</t>
  </si>
  <si>
    <t>3029</t>
  </si>
  <si>
    <t>3038</t>
  </si>
  <si>
    <t>3039</t>
  </si>
  <si>
    <t>RR RP PG</t>
  </si>
  <si>
    <t>GR PG</t>
  </si>
  <si>
    <t>4268</t>
  </si>
  <si>
    <t>4269</t>
  </si>
  <si>
    <t>4288</t>
  </si>
  <si>
    <t>4289</t>
  </si>
  <si>
    <t>4368</t>
  </si>
  <si>
    <t>Opłaty z tytułu zakupu usług telekomunikacyjnych świadczonych w ruchomej publicznej sieci telefonicznej</t>
  </si>
  <si>
    <t>RR RP</t>
  </si>
  <si>
    <t>4408</t>
  </si>
  <si>
    <t>4409</t>
  </si>
  <si>
    <t>4528</t>
  </si>
  <si>
    <t>4529</t>
  </si>
  <si>
    <t>4618</t>
  </si>
  <si>
    <t>4619</t>
  </si>
  <si>
    <t>75023</t>
  </si>
  <si>
    <t>Urzędy gmin (miast i miast na prawach powiatu)</t>
  </si>
  <si>
    <t>75046</t>
  </si>
  <si>
    <t>75075</t>
  </si>
  <si>
    <t>KZ</t>
  </si>
  <si>
    <t>KZ PG</t>
  </si>
  <si>
    <t>KS KZ RG</t>
  </si>
  <si>
    <t>KS KZ RR RG PG</t>
  </si>
  <si>
    <t>Szkolenia pracowników niebędących członkami korpusu służby cywilnej</t>
  </si>
  <si>
    <t>75079</t>
  </si>
  <si>
    <t>4470</t>
  </si>
  <si>
    <t>Cła</t>
  </si>
  <si>
    <t>75084</t>
  </si>
  <si>
    <t>świadczenia na rzecz osób fizycznych</t>
  </si>
  <si>
    <t>KZ RR GR</t>
  </si>
  <si>
    <t>KS KZ RR GR WP</t>
  </si>
  <si>
    <t>KZ GR</t>
  </si>
  <si>
    <t>KZ RR GR NW</t>
  </si>
  <si>
    <t>RR GR</t>
  </si>
  <si>
    <t>KS GR</t>
  </si>
  <si>
    <t>4540</t>
  </si>
  <si>
    <t>Składki dla organizacji międzynarodowych</t>
  </si>
  <si>
    <t>GR WP</t>
  </si>
  <si>
    <t>Dotacja celowa z budżetu na finansowanie lub dofinansowanie zadań zleconych do realizacji pozostałym jednostkom nie zaliczanym do sektora finansów publicznych</t>
  </si>
  <si>
    <t>KS KZ</t>
  </si>
  <si>
    <t>Dotacje celowe w ramach programów finansowanych z udziałem środków europejskich oraz środków, o których mowa w art.. 5 ust. 3 pkt 5 lit a i b ustawy, lub płatności w ramach budżetu środków europejskich, realizowanych przez jednostki samorządu terytorialnego</t>
  </si>
  <si>
    <t>2958</t>
  </si>
  <si>
    <t>GR BI OT</t>
  </si>
  <si>
    <t>GR BI</t>
  </si>
  <si>
    <t>GR OT</t>
  </si>
  <si>
    <t>4228</t>
  </si>
  <si>
    <t>OT</t>
  </si>
  <si>
    <t>4229</t>
  </si>
  <si>
    <t>4267</t>
  </si>
  <si>
    <t>BI</t>
  </si>
  <si>
    <t>RP GR BI OT</t>
  </si>
  <si>
    <t>RP GR BI</t>
  </si>
  <si>
    <t>4367</t>
  </si>
  <si>
    <t>BI OT</t>
  </si>
  <si>
    <t>4369</t>
  </si>
  <si>
    <t>4437</t>
  </si>
  <si>
    <t>6698</t>
  </si>
  <si>
    <t>752</t>
  </si>
  <si>
    <t>Obrona narodowa</t>
  </si>
  <si>
    <t>75212</t>
  </si>
  <si>
    <t>754</t>
  </si>
  <si>
    <t>Bezpieczeństwo publiczne i ochrona przeciwpożarowa</t>
  </si>
  <si>
    <t>75404</t>
  </si>
  <si>
    <t>Komendy wojewódzkie Policji</t>
  </si>
  <si>
    <t>2300</t>
  </si>
  <si>
    <t>Wpłaty jednostek na państwowy fundusz celowy</t>
  </si>
  <si>
    <t>6170</t>
  </si>
  <si>
    <t>Wpłaty jednostek na państwowy fundusz celowy na finansowanie lub dofinansowanie zadań inwestycyjnych</t>
  </si>
  <si>
    <t>75406</t>
  </si>
  <si>
    <t>Straż Graniczna</t>
  </si>
  <si>
    <t>3000</t>
  </si>
  <si>
    <t>75410</t>
  </si>
  <si>
    <t>Komendy wojewódzkie Państwowej Straży Pożarnej</t>
  </si>
  <si>
    <t>75412</t>
  </si>
  <si>
    <t>Ochotnicze straże pożarne</t>
  </si>
  <si>
    <t>75415</t>
  </si>
  <si>
    <t>Zadania ratownictwa górskiego i wodnego</t>
  </si>
  <si>
    <t>6190</t>
  </si>
  <si>
    <t>Dotacja celowa z budżetu jednostki samorządu terytorialnego, udzielona w trybie art. 221 ustawy, na dofinansowanie inwestycji w ramach zadań zleconych do realizacji organizacjom prowadzącym działalność pożytku publicznego</t>
  </si>
  <si>
    <t>75421</t>
  </si>
  <si>
    <t>2560</t>
  </si>
  <si>
    <t>Dotacja z budżetu dla samodzielnego publicznego zakładu opieki zdrowotnej utworzonego przez jednostkę samorządu terytorialnego</t>
  </si>
  <si>
    <t>Dotacja celowa otrzymana z budżetu przez pozostałe jednostki zaliczane do sektora finansów publicznych</t>
  </si>
  <si>
    <t>2820</t>
  </si>
  <si>
    <t>Dotacja celowa z budżetu na finansowanie lub dofinansowanie zadań zleconych do realizacji stowarzyszeniom</t>
  </si>
  <si>
    <t>75495</t>
  </si>
  <si>
    <t>757</t>
  </si>
  <si>
    <t>Obsługa długu publicznego</t>
  </si>
  <si>
    <t>75702</t>
  </si>
  <si>
    <t>Obsługa papierów wartościowych, kredytów i pożyczek  oraz innych zobowiązań jednostek samorządu terytorialnego zaliczanych do tytułu dłużnego - kredyty i pożyczki</t>
  </si>
  <si>
    <t>obsługa długu JST</t>
  </si>
  <si>
    <t>8110</t>
  </si>
  <si>
    <t>Odsetki od samorządowych papierów wartościowych lub zaciągniętych przez jednostkę samorządu terytorialnego kredytów i pożyczek</t>
  </si>
  <si>
    <t>75704</t>
  </si>
  <si>
    <t>Rozliczenia z tytułu poręczeń i gwarancji udzielonych przez Skarb Państwa lub jednostkę samorządu terytorialnego</t>
  </si>
  <si>
    <t>wypłaty z tytułu poręczeń i gwarancji:</t>
  </si>
  <si>
    <t>8030</t>
  </si>
  <si>
    <t xml:space="preserve">Wypłaty z tytułu krajowych poręczeń i gwarancji </t>
  </si>
  <si>
    <t>758</t>
  </si>
  <si>
    <t>Różne rozliczenia</t>
  </si>
  <si>
    <t>75818</t>
  </si>
  <si>
    <t>Rezerwy ogólne i celowe</t>
  </si>
  <si>
    <t>4810</t>
  </si>
  <si>
    <t>Rezerwy</t>
  </si>
  <si>
    <t>6800</t>
  </si>
  <si>
    <t>Rezerwy na inwestycje i zakupy inwestycyjne</t>
  </si>
  <si>
    <t>801</t>
  </si>
  <si>
    <t>Oświata i wychowanie</t>
  </si>
  <si>
    <t>80101</t>
  </si>
  <si>
    <t xml:space="preserve">Szkoły podstawowe </t>
  </si>
  <si>
    <t>80102</t>
  </si>
  <si>
    <t xml:space="preserve">Wynagrodzenia bezosobowe </t>
  </si>
  <si>
    <t>4790</t>
  </si>
  <si>
    <t>Wynagrodzenia osobowe nauczycieli</t>
  </si>
  <si>
    <t>4800</t>
  </si>
  <si>
    <t>Dodatkowe wynagrodzenie roczne nauczycieli</t>
  </si>
  <si>
    <t>80104</t>
  </si>
  <si>
    <t>Przedszkola</t>
  </si>
  <si>
    <t>80111</t>
  </si>
  <si>
    <t>Gimnazja specjalne</t>
  </si>
  <si>
    <t>80116</t>
  </si>
  <si>
    <t>80121</t>
  </si>
  <si>
    <t>Licea ogólnokształcące specjalne</t>
  </si>
  <si>
    <t>80130</t>
  </si>
  <si>
    <t>4340</t>
  </si>
  <si>
    <t>Zakup usług remontowo-konserwatorskich dotyczących obiektów zabytkowych będących w użytkowaniu jednostek budżetowych</t>
  </si>
  <si>
    <t xml:space="preserve">Opłaty na rzecz budżetów jednostek budżetowych </t>
  </si>
  <si>
    <t>3240</t>
  </si>
  <si>
    <t>Stypendia dla uczniów</t>
  </si>
  <si>
    <t>3247</t>
  </si>
  <si>
    <t>3249</t>
  </si>
  <si>
    <t>4247</t>
  </si>
  <si>
    <t>4249</t>
  </si>
  <si>
    <t>80146</t>
  </si>
  <si>
    <t>3027</t>
  </si>
  <si>
    <t>4176</t>
  </si>
  <si>
    <t>4226</t>
  </si>
  <si>
    <t>4227</t>
  </si>
  <si>
    <t>4347</t>
  </si>
  <si>
    <t>Zakup usług remontowo - konserwatorskich dotyczących obiektów zabytkowych będących w użytkowaniu jednostek budżetowych</t>
  </si>
  <si>
    <t>4349</t>
  </si>
  <si>
    <t>4366</t>
  </si>
  <si>
    <t xml:space="preserve">Opłaty z tytułu zakupu usług telekomunikacyjnych </t>
  </si>
  <si>
    <t>4797</t>
  </si>
  <si>
    <t>4799</t>
  </si>
  <si>
    <t>80147</t>
  </si>
  <si>
    <t>80151</t>
  </si>
  <si>
    <t>Kwalifikacyjne kursy zawodowe</t>
  </si>
  <si>
    <t>80195</t>
  </si>
  <si>
    <t>3040</t>
  </si>
  <si>
    <t>Nagrody o charakterze szczególnym niezaliczone do wynagrodzeń</t>
  </si>
  <si>
    <t>4011</t>
  </si>
  <si>
    <t>4111</t>
  </si>
  <si>
    <t>4121</t>
  </si>
  <si>
    <t>4171</t>
  </si>
  <si>
    <t>4211</t>
  </si>
  <si>
    <t>4301</t>
  </si>
  <si>
    <t>4411</t>
  </si>
  <si>
    <t>4421</t>
  </si>
  <si>
    <t>4431</t>
  </si>
  <si>
    <t>4711</t>
  </si>
  <si>
    <t>4791</t>
  </si>
  <si>
    <t>Zwroty dotacji oraz płatności wykorzystanych niezgodnie z przeznaczeniem lub wykorzystanych z naruszeniem procedur, o których mowa w art. 184 ustawy, pobranych nienależnie lub w nadmiernej wysokości dotyczące wydatków majątkowych</t>
  </si>
  <si>
    <t>803</t>
  </si>
  <si>
    <t>Szkolnictwo wyższe</t>
  </si>
  <si>
    <t>80309</t>
  </si>
  <si>
    <t>4989</t>
  </si>
  <si>
    <t>Zwroty dotyczące rozliczeń z Komisją Europejską</t>
  </si>
  <si>
    <t>80395</t>
  </si>
  <si>
    <t>dotacje na zadania bieżące</t>
  </si>
  <si>
    <t>2500</t>
  </si>
  <si>
    <t>Dotacja podmiotowa z budżetu dla uczelni niepublicznej na zadania, o których mowa w art. 94 ust. 1 pkt 1 ustawy z dnia 27 lipca 2005 r. - Prawo o szkolnictwie wyższym</t>
  </si>
  <si>
    <t>2520</t>
  </si>
  <si>
    <t>Dotacja podmiotowa z budżetu dla uczelni publicznej na zadania, o których mowa w art. 94 ust. 1 pkt 1 ustawy z dnia 27 lipca 2005 r. - Prawo o szkolnictwie wyższym</t>
  </si>
  <si>
    <t>851</t>
  </si>
  <si>
    <t>Ochrona zdrowia</t>
  </si>
  <si>
    <t>85111</t>
  </si>
  <si>
    <t>4160</t>
  </si>
  <si>
    <t>Pokrycie ujemnego wyniku finansowego jednostek zaliczanych do sektora finansów publicznych</t>
  </si>
  <si>
    <t>85119</t>
  </si>
  <si>
    <t>Leczenie sanatoryjno - klimatyczne</t>
  </si>
  <si>
    <t>85120</t>
  </si>
  <si>
    <t>Lecznictwo psychiatryczne</t>
  </si>
  <si>
    <t>85121</t>
  </si>
  <si>
    <t>Lecznictwo ambulatoryjne</t>
  </si>
  <si>
    <t>85141</t>
  </si>
  <si>
    <t>Dotacja podmiotowa z budżetu dla samodzielnego publicznego zakładu opieki zdrowotnej utworzonego przez jednostkę samorządu terytorialnego</t>
  </si>
  <si>
    <t>85148</t>
  </si>
  <si>
    <t>85149</t>
  </si>
  <si>
    <t>Programy polityki społecznej</t>
  </si>
  <si>
    <t>85153</t>
  </si>
  <si>
    <t>85154</t>
  </si>
  <si>
    <t>Przeciwdziałanie alkoholizmowi</t>
  </si>
  <si>
    <t>85156</t>
  </si>
  <si>
    <t>4130</t>
  </si>
  <si>
    <t>Składki na ubezpieczenie zdrowotne</t>
  </si>
  <si>
    <t>85157</t>
  </si>
  <si>
    <t>Staże i specjalizacje medyczne</t>
  </si>
  <si>
    <t>4320</t>
  </si>
  <si>
    <t xml:space="preserve">Staże i specjalizacje medyczne </t>
  </si>
  <si>
    <t>85195</t>
  </si>
  <si>
    <t xml:space="preserve"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205 </t>
  </si>
  <si>
    <t>852</t>
  </si>
  <si>
    <t>Pomoc społeczna</t>
  </si>
  <si>
    <t>85205</t>
  </si>
  <si>
    <t>Dotacje celowe z budżetu jednostki samorządu terytorialnego, udzielone w trybie art.. 221 ustawy, na finansowanie lub dofinansowanie zadań zleconych do realizacji organizacjom prowadzącym działalność pożytku publicznego</t>
  </si>
  <si>
    <t>85214</t>
  </si>
  <si>
    <t>Zasiłki okresowe, celowe i pomoc w naturze oraz składki na ubezpieczenia emerytalne i rentowe</t>
  </si>
  <si>
    <t>85217</t>
  </si>
  <si>
    <t>85231</t>
  </si>
  <si>
    <t>Pomoc dla cudzoziemców</t>
  </si>
  <si>
    <t>4277</t>
  </si>
  <si>
    <t>4287</t>
  </si>
  <si>
    <t>4407</t>
  </si>
  <si>
    <t>4447</t>
  </si>
  <si>
    <t>4449</t>
  </si>
  <si>
    <t>4487</t>
  </si>
  <si>
    <t>4489</t>
  </si>
  <si>
    <t>4527</t>
  </si>
  <si>
    <t>Powiatowe centra pomocy rodzinie</t>
  </si>
  <si>
    <t>Ośrodki pomocy społecznej</t>
  </si>
  <si>
    <t>85232</t>
  </si>
  <si>
    <t>Centra integracji społecznej</t>
  </si>
  <si>
    <t>85278</t>
  </si>
  <si>
    <t>Dotacja celowa otrzymana z tytułu pomocy finansowej udzielanej między jednostkami samorządu terytorialnego na dofinansowanie własnych zadań bieżących</t>
  </si>
  <si>
    <t>85279</t>
  </si>
  <si>
    <t>85295</t>
  </si>
  <si>
    <t>4350</t>
  </si>
  <si>
    <t>Zakup towarów (w szczególności materiałów, leków, żywności) w związku z pomocą obywatelom Ukrainy</t>
  </si>
  <si>
    <t>2340</t>
  </si>
  <si>
    <t>Dotacja celowa dla jednostki spoza sektora finansów publicznych na finansowanie lub dofinansowanie zadań bieżących związanych z pomocą obywatelom Ukrainy</t>
  </si>
  <si>
    <t>3037</t>
  </si>
  <si>
    <t>853</t>
  </si>
  <si>
    <t>Pozostałe zadania w zakresie polityki społecznej</t>
  </si>
  <si>
    <t>85311</t>
  </si>
  <si>
    <t>2570</t>
  </si>
  <si>
    <t>Dotacja podmiotowa z budżetu dla pozostałych jednostek sektora finansów publicznych</t>
  </si>
  <si>
    <t>2580</t>
  </si>
  <si>
    <t>Dotacja podmiotowa z budżetu dla jednostek niezaliczanych do sektora finansów publicznych</t>
  </si>
  <si>
    <t>Dotacje celowe z budżetu jednostki samorządu terytorialnego, udzielone w trybie art. 221 ustawy, na dofinansowanie inwestycji w ramach zadań zleconych do realizacji organizacjom prowadzącym działalność pożytku publicznego</t>
  </si>
  <si>
    <t>85332</t>
  </si>
  <si>
    <t>Wojewódzkie urzędy pracy</t>
  </si>
  <si>
    <t>RP GR</t>
  </si>
  <si>
    <t>85395</t>
  </si>
  <si>
    <t>854</t>
  </si>
  <si>
    <t>Edukacyjna opieka wychowawcza</t>
  </si>
  <si>
    <t>85410</t>
  </si>
  <si>
    <t>Opłaty na rzecz budżetów jednostek budżetowych</t>
  </si>
  <si>
    <t>85416</t>
  </si>
  <si>
    <t>Pomoc materialna dla uczniów o charakterze motywacyjnym</t>
  </si>
  <si>
    <t>85417</t>
  </si>
  <si>
    <t>Szkolne schroniska młodzieżowe</t>
  </si>
  <si>
    <t>85420</t>
  </si>
  <si>
    <t>Młodzieżowe ośrodki wychowawcze</t>
  </si>
  <si>
    <t xml:space="preserve">dotacje na zadania bieżące </t>
  </si>
  <si>
    <t>855</t>
  </si>
  <si>
    <t>Rodzina</t>
  </si>
  <si>
    <t>85503</t>
  </si>
  <si>
    <t>Karta Dużej Rodziny</t>
  </si>
  <si>
    <t>85504</t>
  </si>
  <si>
    <t>85508</t>
  </si>
  <si>
    <t>Rodziny zastępcze</t>
  </si>
  <si>
    <t>85509</t>
  </si>
  <si>
    <t>85510</t>
  </si>
  <si>
    <t>Działalność placówek opiekuńczo-wychowawczych</t>
  </si>
  <si>
    <t>900</t>
  </si>
  <si>
    <t>Gospodarka komunalna i ochrona środowiska</t>
  </si>
  <si>
    <t>90002</t>
  </si>
  <si>
    <t>Gospodarka odpadami</t>
  </si>
  <si>
    <t>90004</t>
  </si>
  <si>
    <t>Utrzymanie zieleni w miastach i gminach</t>
  </si>
  <si>
    <t>90005</t>
  </si>
  <si>
    <t>OS</t>
  </si>
  <si>
    <t>90007</t>
  </si>
  <si>
    <t>Zmniejszenie hałasu i wibracji</t>
  </si>
  <si>
    <t>90008</t>
  </si>
  <si>
    <t>90015</t>
  </si>
  <si>
    <t>Oświetlenie ulic, placów i dróg</t>
  </si>
  <si>
    <t>90019</t>
  </si>
  <si>
    <t>Wpływy i wydatki związane z gromadzeniem środków z opłat i kar za korzystanie ze środowiska</t>
  </si>
  <si>
    <t>90020</t>
  </si>
  <si>
    <t>Wpływy i wydatki związane z gromadzeniem środków z opłat produktowych</t>
  </si>
  <si>
    <t>90024</t>
  </si>
  <si>
    <t>Wpływy i wydatki związane z wprowadzeniem do obrotu baterii i akumulatorów</t>
  </si>
  <si>
    <t>90026</t>
  </si>
  <si>
    <t>Pozostałe działania związane z gospodarką odpadami</t>
  </si>
  <si>
    <t>90095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</si>
  <si>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625</t>
  </si>
  <si>
    <t>921</t>
  </si>
  <si>
    <t>Kultura i ochrona dziedzictwa narodowego</t>
  </si>
  <si>
    <t>92105</t>
  </si>
  <si>
    <t>Pozostałe zadania w zakresie kultury</t>
  </si>
  <si>
    <t>92106</t>
  </si>
  <si>
    <t xml:space="preserve">Teatry </t>
  </si>
  <si>
    <t>2480</t>
  </si>
  <si>
    <t>Dotacja podmiotowa z budżetu dla samorządowej instytucji kultury</t>
  </si>
  <si>
    <t>92108</t>
  </si>
  <si>
    <t>92109</t>
  </si>
  <si>
    <t>Domy i ośrodki kultury, świetlice i kluby</t>
  </si>
  <si>
    <t>6229</t>
  </si>
  <si>
    <t>6690</t>
  </si>
  <si>
    <t>Zwrot niewykorzystanych dotacji oraz płatności, dotyczące wydatków majątkowych</t>
  </si>
  <si>
    <t>92110</t>
  </si>
  <si>
    <t>Galerie i biura wystaw artystycznych</t>
  </si>
  <si>
    <t>92114</t>
  </si>
  <si>
    <t>Pozostałe instytucje kultury</t>
  </si>
  <si>
    <t>92116</t>
  </si>
  <si>
    <t>Biblioteki</t>
  </si>
  <si>
    <t xml:space="preserve">Zwrot dotacji oraz płatności wykorzystanych niezgodnie z przeznaczeniem lub wykorzystanych z naruszeniem procedur, o których mowa w art. 184 ustawy, pobranych nienależnie lub w nadniernej wysokości </t>
  </si>
  <si>
    <t>92118</t>
  </si>
  <si>
    <t>Muzea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</si>
  <si>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</si>
  <si>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</si>
  <si>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</si>
  <si>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</si>
  <si>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2730</t>
  </si>
  <si>
    <t>Dotacje celowe otrzymane z budżetu przez użytkowników zabytków niebędących jednostkami budżetowymi na finansowanie i dofinansowanie prac remontowych i konserwatorskich przy tych zabytkach</t>
  </si>
  <si>
    <t>92195</t>
  </si>
  <si>
    <t>Dotacja celowa otrzymana od samorządu województwa na zadania bieżące realizowane na podstawie porozumień (umów) między jednostkami samorządu terytorialnego</t>
  </si>
  <si>
    <t>925</t>
  </si>
  <si>
    <t>Ogrody botaniczne i zoologiczne oraz naturalne obszary i obiekty chronionej przyrody</t>
  </si>
  <si>
    <t>92501</t>
  </si>
  <si>
    <t>Parki narodowe</t>
  </si>
  <si>
    <t>92502</t>
  </si>
  <si>
    <t>92595</t>
  </si>
  <si>
    <t>926</t>
  </si>
  <si>
    <t>Kultura fizyczna</t>
  </si>
  <si>
    <t>92601</t>
  </si>
  <si>
    <t>Obiekty sportowe</t>
  </si>
  <si>
    <t>92604</t>
  </si>
  <si>
    <t>Zadania w zakresie kultury fizycznej</t>
  </si>
  <si>
    <t>92605</t>
  </si>
  <si>
    <t>dotacje  na zadania bieżące:</t>
  </si>
  <si>
    <t>92695</t>
  </si>
  <si>
    <t>Razem:</t>
  </si>
  <si>
    <t>I. Wydatki bieżące, w tym:</t>
  </si>
  <si>
    <t>1. Wydatki jednostek budżetowych, z tego:</t>
  </si>
  <si>
    <t xml:space="preserve">    - wynagrodzenia i składki od nich naliczane</t>
  </si>
  <si>
    <t xml:space="preserve">    - wydatki związane z realizacją ich statutowych zadań</t>
  </si>
  <si>
    <t>2. Dotacje na zadania bieżące</t>
  </si>
  <si>
    <t>3. Świadczenia na rzecz osób fizycznych</t>
  </si>
  <si>
    <t>4. Wydatki na programy finansowane z udziałem środków UE i źródeł zagranicznych</t>
  </si>
  <si>
    <t>5. Wypłaty z tytułu poręczeń i gwarancji</t>
  </si>
  <si>
    <t>6. Obsługa długu JST</t>
  </si>
  <si>
    <t>II. Wydatki majątkowe, w tym:</t>
  </si>
  <si>
    <t>1. Inwestycje i zakupy inwestycyjne, z tego:</t>
  </si>
  <si>
    <t xml:space="preserve">   - na programy finansowane z udziałem środków UE i źródeł zagranicznych</t>
  </si>
  <si>
    <t>2. Zakup i objęcie akcji i udziałów</t>
  </si>
  <si>
    <t>3. Wniesienie wkładów do spółek prawa handlowego</t>
  </si>
  <si>
    <t>Modernizacja (ulepszenie) pojazdów szynowych</t>
  </si>
  <si>
    <t xml:space="preserve">Wydatki poniesione ze środków z Rządowego Funduszu Polski Ład: Program Inwstycji Strategicznych na realizację zadań inwestycyjnych </t>
  </si>
  <si>
    <t>Opracowanie koncepcji architektonicznej parkingu wielopoziomowego dla potrzeb Wojewódzkiego Urzędu Pracy w Rzeszowie i pozostałych jednostek organizacyjnych Województwa Podkarpackiego</t>
  </si>
  <si>
    <t>Dotacja celowa z budżetu państwa na finansowanie wydatków objętych Pomocą Techniczną REACT EU Regionalnego Programu Operacyjnego Województwa Podkarpackiego na lata 2014 - 2020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</si>
</sst>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,##0.0"/>
  </numFmts>
  <fonts count="9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Czcionka tekstu podstawowego"/>
      <family val="2"/>
      <charset val="238"/>
    </font>
    <font>
      <i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rgb="FFFF0000"/>
      <name val="Czcionka tekstu podstawowego"/>
      <family val="2"/>
      <charset val="238"/>
    </font>
    <font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4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sz val="11"/>
      <name val="Calibri"/>
      <family val="2"/>
      <scheme val="minor"/>
    </font>
    <font>
      <b/>
      <i/>
      <sz val="12"/>
      <color theme="1"/>
      <name val="Arial"/>
      <family val="2"/>
    </font>
    <font>
      <i/>
      <sz val="11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sz val="10"/>
      <color theme="1"/>
      <name val="Arial"/>
      <family val="2"/>
    </font>
    <font>
      <i/>
      <sz val="10"/>
      <color theme="1"/>
      <name val="Arial CE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Calibri"/>
      <family val="2"/>
      <scheme val="minor"/>
    </font>
    <font>
      <b/>
      <sz val="9"/>
      <color theme="1"/>
      <name val="Arial"/>
      <family val="2"/>
      <charset val="238"/>
    </font>
    <font>
      <sz val="9"/>
      <name val="Calibri"/>
      <family val="2"/>
      <scheme val="minor"/>
    </font>
    <font>
      <b/>
      <sz val="10"/>
      <color rgb="FFFF0000"/>
      <name val="Arial"/>
      <family val="2"/>
      <charset val="238"/>
    </font>
    <font>
      <b/>
      <sz val="10"/>
      <name val="Arial CE"/>
      <charset val="238"/>
    </font>
    <font>
      <b/>
      <sz val="10"/>
      <color rgb="FFFF0000"/>
      <name val="Arial CE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CE"/>
      <charset val="238"/>
    </font>
    <font>
      <i/>
      <sz val="10"/>
      <color rgb="FFFF0000"/>
      <name val="Arial CE"/>
      <charset val="238"/>
    </font>
    <font>
      <sz val="10"/>
      <color rgb="FFFF0000"/>
      <name val="Arial CE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0"/>
      <color rgb="FFFF0000"/>
      <name val="Arial"/>
      <family val="2"/>
    </font>
    <font>
      <sz val="9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theme="1"/>
      <name val="Arial CE"/>
      <charset val="238"/>
    </font>
    <font>
      <i/>
      <sz val="10"/>
      <color theme="1"/>
      <name val="Arial"/>
      <family val="2"/>
      <charset val="238"/>
    </font>
    <font>
      <i/>
      <sz val="10"/>
      <color rgb="FFFF0000"/>
      <name val="Arial"/>
      <family val="2"/>
    </font>
    <font>
      <sz val="10"/>
      <color theme="1"/>
      <name val="Arial CE"/>
      <charset val="238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i/>
      <sz val="10"/>
      <name val="Arial"/>
      <family val="2"/>
    </font>
    <font>
      <i/>
      <sz val="11"/>
      <name val="Calibri"/>
      <family val="2"/>
      <charset val="238"/>
      <scheme val="minor"/>
    </font>
    <font>
      <b/>
      <i/>
      <sz val="10"/>
      <color rgb="FFFF0000"/>
      <name val="Arial"/>
      <family val="2"/>
    </font>
    <font>
      <b/>
      <i/>
      <u/>
      <sz val="10"/>
      <name val="Arial"/>
      <family val="2"/>
      <charset val="238"/>
    </font>
    <font>
      <sz val="16"/>
      <color rgb="FF7030A0"/>
      <name val="Arial CE"/>
      <charset val="238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name val="Arial"/>
      <family val="2"/>
      <charset val="238"/>
    </font>
    <font>
      <b/>
      <sz val="10"/>
      <name val="Arial"/>
      <family val="2"/>
    </font>
    <font>
      <b/>
      <i/>
      <u/>
      <sz val="10"/>
      <color rgb="FFFF0000"/>
      <name val="Arial"/>
      <family val="2"/>
      <charset val="238"/>
    </font>
    <font>
      <u/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 CE"/>
      <charset val="238"/>
    </font>
    <font>
      <b/>
      <sz val="11"/>
      <color rgb="FFFF0000"/>
      <name val="Arial CE"/>
      <charset val="238"/>
    </font>
    <font>
      <i/>
      <sz val="11"/>
      <name val="Arial CE"/>
      <charset val="238"/>
    </font>
    <font>
      <sz val="11"/>
      <color rgb="FFFF0000"/>
      <name val="Arial CE"/>
      <charset val="238"/>
    </font>
    <font>
      <b/>
      <i/>
      <sz val="11"/>
      <name val="Arial CE"/>
      <charset val="238"/>
    </font>
    <font>
      <b/>
      <i/>
      <sz val="10"/>
      <name val="Arial CE"/>
      <charset val="238"/>
    </font>
    <font>
      <i/>
      <sz val="11"/>
      <color rgb="FFFF0000"/>
      <name val="Arial CE"/>
      <charset val="238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4"/>
      <color rgb="FFFF0000"/>
      <name val="Arial"/>
      <family val="2"/>
      <charset val="238"/>
    </font>
    <font>
      <i/>
      <sz val="14"/>
      <name val="Arial"/>
      <family val="2"/>
      <charset val="238"/>
    </font>
    <font>
      <sz val="10"/>
      <color rgb="FF000000"/>
      <name val="Arial CE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66"/>
        <bgColor indexed="0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F0000"/>
        <bgColor indexed="64"/>
      </patternFill>
    </fill>
  </fills>
  <borders count="12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4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1" fillId="0" borderId="0"/>
    <xf numFmtId="0" fontId="87" fillId="0" borderId="0" applyNumberFormat="0" applyFill="0" applyBorder="0" applyAlignment="0" applyProtection="0">
      <alignment vertical="top"/>
    </xf>
    <xf numFmtId="0" fontId="13" fillId="0" borderId="0"/>
    <xf numFmtId="0" fontId="91" fillId="0" borderId="0" applyNumberFormat="0" applyBorder="0" applyProtection="0"/>
  </cellStyleXfs>
  <cellXfs count="5126">
    <xf numFmtId="0" fontId="0" fillId="0" borderId="0" xfId="0"/>
    <xf numFmtId="0" fontId="4" fillId="0" borderId="0" xfId="1" applyFont="1"/>
    <xf numFmtId="0" fontId="4" fillId="0" borderId="1" xfId="1" applyFont="1" applyBorder="1"/>
    <xf numFmtId="0" fontId="4" fillId="0" borderId="2" xfId="1" applyFont="1" applyBorder="1"/>
    <xf numFmtId="0" fontId="3" fillId="2" borderId="3" xfId="1" applyFont="1" applyFill="1" applyBorder="1" applyAlignment="1">
      <alignment horizontal="center" vertical="center" wrapText="1"/>
    </xf>
    <xf numFmtId="3" fontId="3" fillId="2" borderId="3" xfId="1" applyNumberFormat="1" applyFont="1" applyFill="1" applyBorder="1" applyAlignment="1">
      <alignment horizontal="center" vertical="center" wrapText="1"/>
    </xf>
    <xf numFmtId="0" fontId="7" fillId="3" borderId="0" xfId="1" applyFont="1" applyFill="1"/>
    <xf numFmtId="0" fontId="7" fillId="3" borderId="1" xfId="1" applyFont="1" applyFill="1" applyBorder="1"/>
    <xf numFmtId="0" fontId="7" fillId="3" borderId="2" xfId="1" applyFont="1" applyFill="1" applyBorder="1"/>
    <xf numFmtId="0" fontId="7" fillId="0" borderId="0" xfId="1" applyFont="1"/>
    <xf numFmtId="0" fontId="7" fillId="0" borderId="1" xfId="1" applyFont="1" applyBorder="1"/>
    <xf numFmtId="0" fontId="7" fillId="0" borderId="2" xfId="1" applyFont="1" applyBorder="1"/>
    <xf numFmtId="0" fontId="4" fillId="3" borderId="0" xfId="1" applyFont="1" applyFill="1"/>
    <xf numFmtId="0" fontId="4" fillId="3" borderId="1" xfId="1" applyFont="1" applyFill="1" applyBorder="1"/>
    <xf numFmtId="0" fontId="4" fillId="3" borderId="2" xfId="1" applyFont="1" applyFill="1" applyBorder="1"/>
    <xf numFmtId="0" fontId="4" fillId="6" borderId="0" xfId="1" applyFont="1" applyFill="1"/>
    <xf numFmtId="0" fontId="4" fillId="6" borderId="1" xfId="1" applyFont="1" applyFill="1" applyBorder="1"/>
    <xf numFmtId="0" fontId="4" fillId="6" borderId="2" xfId="1" applyFont="1" applyFill="1" applyBorder="1"/>
    <xf numFmtId="0" fontId="4" fillId="7" borderId="0" xfId="1" applyFont="1" applyFill="1"/>
    <xf numFmtId="0" fontId="4" fillId="7" borderId="1" xfId="1" applyFont="1" applyFill="1" applyBorder="1"/>
    <xf numFmtId="0" fontId="4" fillId="7" borderId="2" xfId="1" applyFont="1" applyFill="1" applyBorder="1"/>
    <xf numFmtId="0" fontId="7" fillId="7" borderId="0" xfId="1" applyFont="1" applyFill="1"/>
    <xf numFmtId="0" fontId="7" fillId="7" borderId="1" xfId="1" applyFont="1" applyFill="1" applyBorder="1"/>
    <xf numFmtId="0" fontId="7" fillId="7" borderId="2" xfId="1" applyFont="1" applyFill="1" applyBorder="1"/>
    <xf numFmtId="0" fontId="8" fillId="8" borderId="0" xfId="1" applyFont="1" applyFill="1"/>
    <xf numFmtId="0" fontId="8" fillId="8" borderId="1" xfId="1" applyFont="1" applyFill="1" applyBorder="1"/>
    <xf numFmtId="0" fontId="8" fillId="8" borderId="2" xfId="1" applyFont="1" applyFill="1" applyBorder="1"/>
    <xf numFmtId="0" fontId="8" fillId="7" borderId="0" xfId="1" applyFont="1" applyFill="1"/>
    <xf numFmtId="0" fontId="8" fillId="7" borderId="1" xfId="1" applyFont="1" applyFill="1" applyBorder="1"/>
    <xf numFmtId="0" fontId="8" fillId="7" borderId="2" xfId="1" applyFont="1" applyFill="1" applyBorder="1"/>
    <xf numFmtId="0" fontId="9" fillId="6" borderId="0" xfId="1" applyFont="1" applyFill="1"/>
    <xf numFmtId="0" fontId="9" fillId="6" borderId="9" xfId="1" applyFont="1" applyFill="1" applyBorder="1"/>
    <xf numFmtId="0" fontId="9" fillId="6" borderId="10" xfId="1" applyFont="1" applyFill="1" applyBorder="1"/>
    <xf numFmtId="0" fontId="6" fillId="6" borderId="0" xfId="1" applyFont="1" applyFill="1"/>
    <xf numFmtId="0" fontId="6" fillId="6" borderId="11" xfId="1" applyFont="1" applyFill="1" applyBorder="1"/>
    <xf numFmtId="0" fontId="6" fillId="6" borderId="12" xfId="1" applyFont="1" applyFill="1" applyBorder="1"/>
    <xf numFmtId="0" fontId="9" fillId="6" borderId="11" xfId="1" applyFont="1" applyFill="1" applyBorder="1"/>
    <xf numFmtId="0" fontId="9" fillId="6" borderId="12" xfId="1" applyFont="1" applyFill="1" applyBorder="1"/>
    <xf numFmtId="0" fontId="9" fillId="6" borderId="1" xfId="1" applyFont="1" applyFill="1" applyBorder="1"/>
    <xf numFmtId="0" fontId="9" fillId="6" borderId="2" xfId="1" applyFont="1" applyFill="1" applyBorder="1"/>
    <xf numFmtId="0" fontId="9" fillId="6" borderId="13" xfId="1" applyFont="1" applyFill="1" applyBorder="1"/>
    <xf numFmtId="0" fontId="9" fillId="6" borderId="14" xfId="1" applyFont="1" applyFill="1" applyBorder="1"/>
    <xf numFmtId="0" fontId="9" fillId="3" borderId="0" xfId="1" applyFont="1" applyFill="1"/>
    <xf numFmtId="0" fontId="9" fillId="3" borderId="13" xfId="1" applyFont="1" applyFill="1" applyBorder="1"/>
    <xf numFmtId="0" fontId="9" fillId="3" borderId="14" xfId="1" applyFont="1" applyFill="1" applyBorder="1"/>
    <xf numFmtId="0" fontId="6" fillId="2" borderId="0" xfId="1" applyFont="1" applyFill="1" applyAlignment="1">
      <alignment horizontal="center" vertical="center" textRotation="90" wrapText="1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left" vertical="center"/>
    </xf>
    <xf numFmtId="3" fontId="6" fillId="2" borderId="0" xfId="1" applyNumberFormat="1" applyFont="1" applyFill="1" applyAlignment="1">
      <alignment vertical="center"/>
    </xf>
    <xf numFmtId="0" fontId="6" fillId="0" borderId="0" xfId="1" applyFont="1" applyAlignment="1">
      <alignment horizont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9" fillId="8" borderId="3" xfId="1" applyFont="1" applyFill="1" applyBorder="1" applyAlignment="1">
      <alignment horizontal="center" vertical="center"/>
    </xf>
    <xf numFmtId="0" fontId="12" fillId="3" borderId="0" xfId="1" applyFont="1" applyFill="1"/>
    <xf numFmtId="0" fontId="12" fillId="7" borderId="0" xfId="1" applyFont="1" applyFill="1"/>
    <xf numFmtId="0" fontId="6" fillId="2" borderId="2" xfId="0" applyFont="1" applyFill="1" applyBorder="1" applyAlignment="1">
      <alignment vertical="center" wrapText="1"/>
    </xf>
    <xf numFmtId="3" fontId="7" fillId="0" borderId="0" xfId="1" applyNumberFormat="1" applyFont="1"/>
    <xf numFmtId="3" fontId="7" fillId="4" borderId="0" xfId="1" applyNumberFormat="1" applyFont="1" applyFill="1"/>
    <xf numFmtId="3" fontId="6" fillId="2" borderId="0" xfId="1" applyNumberFormat="1" applyFont="1" applyFill="1" applyAlignment="1">
      <alignment horizontal="center" vertical="center"/>
    </xf>
    <xf numFmtId="3" fontId="3" fillId="8" borderId="3" xfId="1" applyNumberFormat="1" applyFont="1" applyFill="1" applyBorder="1" applyAlignment="1">
      <alignment vertical="center"/>
    </xf>
    <xf numFmtId="3" fontId="17" fillId="0" borderId="15" xfId="1" applyNumberFormat="1" applyFont="1" applyBorder="1" applyAlignment="1">
      <alignment horizontal="right" vertical="center"/>
    </xf>
    <xf numFmtId="0" fontId="6" fillId="2" borderId="2" xfId="1" applyFont="1" applyFill="1" applyBorder="1" applyAlignment="1">
      <alignment horizontal="left" vertical="center" wrapText="1"/>
    </xf>
    <xf numFmtId="3" fontId="6" fillId="2" borderId="2" xfId="1" applyNumberFormat="1" applyFont="1" applyFill="1" applyBorder="1" applyAlignment="1">
      <alignment horizontal="right" vertical="center" wrapText="1"/>
    </xf>
    <xf numFmtId="3" fontId="3" fillId="5" borderId="2" xfId="1" applyNumberFormat="1" applyFont="1" applyFill="1" applyBorder="1" applyAlignment="1">
      <alignment vertical="center"/>
    </xf>
    <xf numFmtId="0" fontId="8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vertical="center" wrapText="1"/>
    </xf>
    <xf numFmtId="3" fontId="6" fillId="0" borderId="2" xfId="3" applyNumberFormat="1" applyFont="1" applyBorder="1" applyAlignment="1">
      <alignment horizontal="right" vertical="center"/>
    </xf>
    <xf numFmtId="3" fontId="6" fillId="0" borderId="2" xfId="3" applyNumberFormat="1" applyFont="1" applyBorder="1" applyAlignment="1">
      <alignment horizontal="right" vertical="center" wrapText="1"/>
    </xf>
    <xf numFmtId="0" fontId="6" fillId="0" borderId="2" xfId="3" applyFont="1" applyBorder="1" applyAlignment="1">
      <alignment vertical="center" wrapText="1"/>
    </xf>
    <xf numFmtId="0" fontId="6" fillId="0" borderId="2" xfId="2" applyFont="1" applyBorder="1" applyAlignment="1">
      <alignment horizontal="justify" vertical="center"/>
    </xf>
    <xf numFmtId="0" fontId="6" fillId="0" borderId="2" xfId="0" applyFont="1" applyBorder="1" applyAlignment="1">
      <alignment vertical="center" wrapText="1"/>
    </xf>
    <xf numFmtId="0" fontId="6" fillId="2" borderId="2" xfId="2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6" fillId="5" borderId="2" xfId="2" applyFont="1" applyFill="1" applyBorder="1" applyAlignment="1">
      <alignment vertical="center" wrapText="1"/>
    </xf>
    <xf numFmtId="3" fontId="3" fillId="5" borderId="2" xfId="3" applyNumberFormat="1" applyFont="1" applyFill="1" applyBorder="1" applyAlignment="1">
      <alignment horizontal="right" vertical="center"/>
    </xf>
    <xf numFmtId="0" fontId="6" fillId="5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5" borderId="2" xfId="1" applyFont="1" applyFill="1" applyBorder="1" applyAlignment="1">
      <alignment vertical="center"/>
    </xf>
    <xf numFmtId="0" fontId="6" fillId="5" borderId="2" xfId="1" applyFont="1" applyFill="1" applyBorder="1" applyAlignment="1">
      <alignment vertical="center"/>
    </xf>
    <xf numFmtId="0" fontId="6" fillId="2" borderId="2" xfId="1" applyFont="1" applyFill="1" applyBorder="1" applyAlignment="1">
      <alignment vertical="center" wrapText="1"/>
    </xf>
    <xf numFmtId="3" fontId="6" fillId="2" borderId="2" xfId="1" applyNumberFormat="1" applyFont="1" applyFill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2" borderId="2" xfId="3" applyNumberFormat="1" applyFont="1" applyFill="1" applyBorder="1" applyAlignment="1">
      <alignment horizontal="right" vertical="center"/>
    </xf>
    <xf numFmtId="3" fontId="6" fillId="2" borderId="2" xfId="0" applyNumberFormat="1" applyFont="1" applyFill="1" applyBorder="1" applyAlignment="1">
      <alignment vertical="center"/>
    </xf>
    <xf numFmtId="3" fontId="3" fillId="3" borderId="2" xfId="1" applyNumberFormat="1" applyFont="1" applyFill="1" applyBorder="1" applyAlignment="1">
      <alignment vertical="center"/>
    </xf>
    <xf numFmtId="0" fontId="8" fillId="3" borderId="2" xfId="1" applyFont="1" applyFill="1" applyBorder="1" applyAlignment="1">
      <alignment vertical="center"/>
    </xf>
    <xf numFmtId="0" fontId="6" fillId="3" borderId="2" xfId="1" applyFont="1" applyFill="1" applyBorder="1" applyAlignment="1">
      <alignment vertical="center"/>
    </xf>
    <xf numFmtId="0" fontId="6" fillId="0" borderId="2" xfId="1" applyFont="1" applyBorder="1" applyAlignment="1">
      <alignment vertical="center" wrapText="1"/>
    </xf>
    <xf numFmtId="3" fontId="6" fillId="0" borderId="2" xfId="1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3" fontId="3" fillId="5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4" applyFont="1" applyFill="1" applyBorder="1" applyAlignment="1">
      <alignment horizontal="left" vertical="center" wrapText="1"/>
    </xf>
    <xf numFmtId="3" fontId="6" fillId="2" borderId="2" xfId="4" applyNumberFormat="1" applyFont="1" applyFill="1" applyBorder="1" applyAlignment="1">
      <alignment horizontal="right" vertical="center"/>
    </xf>
    <xf numFmtId="0" fontId="6" fillId="2" borderId="2" xfId="4" applyFont="1" applyFill="1" applyBorder="1" applyAlignment="1">
      <alignment vertical="center" wrapText="1"/>
    </xf>
    <xf numFmtId="3" fontId="6" fillId="2" borderId="2" xfId="4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vertical="center"/>
    </xf>
    <xf numFmtId="0" fontId="6" fillId="2" borderId="2" xfId="4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11" fillId="3" borderId="16" xfId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9" fillId="5" borderId="16" xfId="1" applyFont="1" applyFill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" borderId="16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 wrapText="1"/>
    </xf>
    <xf numFmtId="0" fontId="6" fillId="5" borderId="16" xfId="1" applyFont="1" applyFill="1" applyBorder="1" applyAlignment="1">
      <alignment horizontal="center" vertical="center" wrapText="1"/>
    </xf>
    <xf numFmtId="0" fontId="6" fillId="5" borderId="16" xfId="1" applyFont="1" applyFill="1" applyBorder="1" applyAlignment="1">
      <alignment horizontal="center" vertical="center"/>
    </xf>
    <xf numFmtId="0" fontId="8" fillId="5" borderId="16" xfId="1" applyFont="1" applyFill="1" applyBorder="1" applyAlignment="1">
      <alignment horizontal="center" vertical="center" wrapText="1"/>
    </xf>
    <xf numFmtId="0" fontId="11" fillId="5" borderId="16" xfId="1" applyFont="1" applyFill="1" applyBorder="1" applyAlignment="1">
      <alignment horizontal="center" vertical="center" wrapText="1"/>
    </xf>
    <xf numFmtId="0" fontId="6" fillId="2" borderId="16" xfId="5" applyFont="1" applyFill="1" applyBorder="1" applyAlignment="1">
      <alignment horizontal="center" vertical="center" wrapText="1"/>
    </xf>
    <xf numFmtId="0" fontId="6" fillId="2" borderId="16" xfId="4" applyFont="1" applyFill="1" applyBorder="1" applyAlignment="1">
      <alignment horizontal="center" vertical="center" wrapText="1"/>
    </xf>
    <xf numFmtId="0" fontId="6" fillId="2" borderId="14" xfId="4" applyFont="1" applyFill="1" applyBorder="1" applyAlignment="1">
      <alignment horizontal="center" vertical="center" wrapText="1"/>
    </xf>
    <xf numFmtId="0" fontId="6" fillId="2" borderId="14" xfId="4" applyFont="1" applyFill="1" applyBorder="1" applyAlignment="1">
      <alignment horizontal="left" vertical="center" wrapText="1"/>
    </xf>
    <xf numFmtId="3" fontId="6" fillId="2" borderId="14" xfId="1" applyNumberFormat="1" applyFont="1" applyFill="1" applyBorder="1" applyAlignment="1">
      <alignment vertical="center"/>
    </xf>
    <xf numFmtId="0" fontId="6" fillId="2" borderId="18" xfId="4" applyFont="1" applyFill="1" applyBorder="1" applyAlignment="1">
      <alignment horizontal="center" vertical="center" wrapText="1"/>
    </xf>
    <xf numFmtId="0" fontId="2" fillId="0" borderId="0" xfId="1"/>
    <xf numFmtId="0" fontId="19" fillId="2" borderId="0" xfId="1" applyFont="1" applyFill="1" applyAlignment="1">
      <alignment horizontal="center"/>
    </xf>
    <xf numFmtId="0" fontId="19" fillId="2" borderId="0" xfId="1" applyFont="1" applyFill="1" applyAlignment="1">
      <alignment horizontal="center" vertical="center" wrapText="1"/>
    </xf>
    <xf numFmtId="0" fontId="20" fillId="2" borderId="0" xfId="1" applyFont="1" applyFill="1" applyAlignment="1">
      <alignment horizontal="center" vertical="center" wrapText="1"/>
    </xf>
    <xf numFmtId="0" fontId="21" fillId="2" borderId="0" xfId="1" applyFont="1" applyFill="1" applyAlignment="1">
      <alignment horizontal="right" vertical="center" wrapText="1"/>
    </xf>
    <xf numFmtId="3" fontId="22" fillId="4" borderId="2" xfId="1" applyNumberFormat="1" applyFont="1" applyFill="1" applyBorder="1" applyAlignment="1">
      <alignment horizontal="right" vertical="center" wrapText="1"/>
    </xf>
    <xf numFmtId="0" fontId="22" fillId="4" borderId="16" xfId="1" applyFont="1" applyFill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3" fontId="19" fillId="0" borderId="2" xfId="1" applyNumberFormat="1" applyFont="1" applyBorder="1" applyAlignment="1">
      <alignment horizontal="right" vertical="center" wrapText="1"/>
    </xf>
    <xf numFmtId="0" fontId="19" fillId="0" borderId="16" xfId="1" applyFont="1" applyBorder="1" applyAlignment="1">
      <alignment horizontal="center" vertical="center" wrapText="1"/>
    </xf>
    <xf numFmtId="3" fontId="19" fillId="0" borderId="2" xfId="1" applyNumberFormat="1" applyFont="1" applyBorder="1" applyAlignment="1">
      <alignment horizontal="right" vertical="center"/>
    </xf>
    <xf numFmtId="3" fontId="22" fillId="4" borderId="12" xfId="1" applyNumberFormat="1" applyFont="1" applyFill="1" applyBorder="1" applyAlignment="1">
      <alignment horizontal="right" vertical="center" wrapText="1"/>
    </xf>
    <xf numFmtId="0" fontId="22" fillId="4" borderId="17" xfId="1" applyFont="1" applyFill="1" applyBorder="1" applyAlignment="1">
      <alignment horizontal="center" vertical="center" wrapText="1"/>
    </xf>
    <xf numFmtId="0" fontId="2" fillId="0" borderId="2" xfId="1" applyBorder="1" applyAlignment="1">
      <alignment horizontal="center" vertical="center"/>
    </xf>
    <xf numFmtId="3" fontId="23" fillId="0" borderId="2" xfId="1" applyNumberFormat="1" applyFont="1" applyBorder="1" applyAlignment="1">
      <alignment horizontal="right" vertical="center"/>
    </xf>
    <xf numFmtId="0" fontId="19" fillId="0" borderId="4" xfId="1" applyFont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 wrapText="1"/>
    </xf>
    <xf numFmtId="0" fontId="19" fillId="0" borderId="24" xfId="1" applyFont="1" applyBorder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2" fillId="0" borderId="0" xfId="1" applyAlignment="1">
      <alignment horizontal="center"/>
    </xf>
    <xf numFmtId="0" fontId="26" fillId="2" borderId="0" xfId="1" applyFont="1" applyFill="1" applyAlignment="1">
      <alignment wrapText="1"/>
    </xf>
    <xf numFmtId="0" fontId="23" fillId="0" borderId="0" xfId="1" applyFont="1" applyAlignment="1">
      <alignment horizontal="right"/>
    </xf>
    <xf numFmtId="3" fontId="3" fillId="3" borderId="12" xfId="1" applyNumberFormat="1" applyFont="1" applyFill="1" applyBorder="1" applyAlignment="1">
      <alignment horizontal="right" vertical="center" wrapText="1"/>
    </xf>
    <xf numFmtId="0" fontId="11" fillId="3" borderId="17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27" fillId="0" borderId="3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left" vertical="center" wrapText="1"/>
    </xf>
    <xf numFmtId="0" fontId="19" fillId="0" borderId="12" xfId="1" applyFont="1" applyBorder="1" applyAlignment="1">
      <alignment horizontal="center" vertical="center" wrapText="1"/>
    </xf>
    <xf numFmtId="0" fontId="19" fillId="0" borderId="19" xfId="1" applyFont="1" applyBorder="1" applyAlignment="1">
      <alignment horizontal="left" vertical="center" wrapText="1"/>
    </xf>
    <xf numFmtId="0" fontId="19" fillId="0" borderId="14" xfId="1" applyFont="1" applyBorder="1" applyAlignment="1">
      <alignment horizontal="center" vertical="center" wrapText="1"/>
    </xf>
    <xf numFmtId="0" fontId="2" fillId="0" borderId="2" xfId="1" applyBorder="1" applyAlignment="1">
      <alignment horizontal="left" vertical="center" wrapText="1"/>
    </xf>
    <xf numFmtId="0" fontId="19" fillId="0" borderId="25" xfId="1" applyFont="1" applyBorder="1" applyAlignment="1">
      <alignment horizontal="center" vertical="center" wrapText="1"/>
    </xf>
    <xf numFmtId="3" fontId="25" fillId="8" borderId="3" xfId="1" applyNumberFormat="1" applyFont="1" applyFill="1" applyBorder="1" applyAlignment="1">
      <alignment horizontal="right" vertical="center"/>
    </xf>
    <xf numFmtId="0" fontId="25" fillId="8" borderId="3" xfId="1" applyFont="1" applyFill="1" applyBorder="1" applyAlignment="1">
      <alignment horizontal="center" vertical="center"/>
    </xf>
    <xf numFmtId="0" fontId="19" fillId="0" borderId="12" xfId="1" applyFont="1" applyBorder="1" applyAlignment="1">
      <alignment horizontal="left" vertical="center" wrapText="1"/>
    </xf>
    <xf numFmtId="3" fontId="19" fillId="0" borderId="12" xfId="1" applyNumberFormat="1" applyFont="1" applyBorder="1" applyAlignment="1">
      <alignment horizontal="right" vertical="center"/>
    </xf>
    <xf numFmtId="0" fontId="33" fillId="0" borderId="0" xfId="178" applyFont="1"/>
    <xf numFmtId="3" fontId="10" fillId="0" borderId="0" xfId="178" applyNumberFormat="1" applyFont="1" applyAlignment="1">
      <alignment horizontal="right" vertical="center"/>
    </xf>
    <xf numFmtId="9" fontId="10" fillId="0" borderId="0" xfId="177" applyFont="1" applyAlignment="1">
      <alignment horizontal="right" vertical="center"/>
    </xf>
    <xf numFmtId="0" fontId="33" fillId="0" borderId="0" xfId="178" applyFont="1" applyAlignment="1">
      <alignment horizontal="left"/>
    </xf>
    <xf numFmtId="0" fontId="34" fillId="0" borderId="0" xfId="178" applyFont="1" applyAlignment="1">
      <alignment vertical="center" wrapText="1"/>
    </xf>
    <xf numFmtId="0" fontId="31" fillId="0" borderId="0" xfId="178"/>
    <xf numFmtId="0" fontId="35" fillId="0" borderId="29" xfId="178" applyFont="1" applyBorder="1" applyAlignment="1">
      <alignment horizontal="right"/>
    </xf>
    <xf numFmtId="9" fontId="35" fillId="0" borderId="0" xfId="177" applyFont="1" applyBorder="1" applyAlignment="1">
      <alignment horizontal="right"/>
    </xf>
    <xf numFmtId="0" fontId="35" fillId="0" borderId="0" xfId="178" applyFont="1" applyAlignment="1">
      <alignment horizontal="right"/>
    </xf>
    <xf numFmtId="0" fontId="36" fillId="0" borderId="0" xfId="178" applyFont="1" applyAlignment="1">
      <alignment horizontal="right"/>
    </xf>
    <xf numFmtId="0" fontId="37" fillId="0" borderId="0" xfId="178" applyFont="1" applyAlignment="1">
      <alignment horizontal="center" vertical="center"/>
    </xf>
    <xf numFmtId="0" fontId="31" fillId="0" borderId="0" xfId="178" applyAlignment="1">
      <alignment horizontal="center" vertical="center"/>
    </xf>
    <xf numFmtId="0" fontId="31" fillId="0" borderId="0" xfId="178" applyAlignment="1">
      <alignment vertical="center"/>
    </xf>
    <xf numFmtId="3" fontId="38" fillId="0" borderId="0" xfId="179" applyNumberFormat="1" applyFont="1" applyBorder="1" applyAlignment="1">
      <alignment horizontal="right" vertical="center"/>
    </xf>
    <xf numFmtId="0" fontId="41" fillId="0" borderId="0" xfId="178" applyFont="1"/>
    <xf numFmtId="0" fontId="42" fillId="9" borderId="3" xfId="178" applyFont="1" applyFill="1" applyBorder="1" applyAlignment="1">
      <alignment horizontal="center" vertical="center" wrapText="1"/>
    </xf>
    <xf numFmtId="0" fontId="42" fillId="9" borderId="36" xfId="178" applyFont="1" applyFill="1" applyBorder="1" applyAlignment="1">
      <alignment horizontal="center" vertical="center" wrapText="1"/>
    </xf>
    <xf numFmtId="0" fontId="42" fillId="9" borderId="37" xfId="178" applyFont="1" applyFill="1" applyBorder="1" applyAlignment="1">
      <alignment horizontal="center" vertical="center" wrapText="1"/>
    </xf>
    <xf numFmtId="10" fontId="42" fillId="9" borderId="3" xfId="178" applyNumberFormat="1" applyFont="1" applyFill="1" applyBorder="1" applyAlignment="1">
      <alignment horizontal="center" vertical="center"/>
    </xf>
    <xf numFmtId="3" fontId="42" fillId="9" borderId="3" xfId="178" applyNumberFormat="1" applyFont="1" applyFill="1" applyBorder="1" applyAlignment="1">
      <alignment horizontal="center" vertical="center"/>
    </xf>
    <xf numFmtId="3" fontId="42" fillId="9" borderId="37" xfId="178" applyNumberFormat="1" applyFont="1" applyFill="1" applyBorder="1" applyAlignment="1">
      <alignment horizontal="center" vertical="center"/>
    </xf>
    <xf numFmtId="1" fontId="42" fillId="9" borderId="3" xfId="177" applyNumberFormat="1" applyFont="1" applyFill="1" applyBorder="1" applyAlignment="1">
      <alignment horizontal="center" vertical="center"/>
    </xf>
    <xf numFmtId="3" fontId="42" fillId="9" borderId="30" xfId="178" applyNumberFormat="1" applyFont="1" applyFill="1" applyBorder="1" applyAlignment="1">
      <alignment horizontal="center" vertical="center"/>
    </xf>
    <xf numFmtId="0" fontId="43" fillId="0" borderId="0" xfId="178" applyFont="1"/>
    <xf numFmtId="0" fontId="27" fillId="5" borderId="3" xfId="178" quotePrefix="1" applyFont="1" applyFill="1" applyBorder="1" applyAlignment="1">
      <alignment horizontal="center" vertical="center" wrapText="1"/>
    </xf>
    <xf numFmtId="0" fontId="27" fillId="5" borderId="36" xfId="178" quotePrefix="1" applyFont="1" applyFill="1" applyBorder="1" applyAlignment="1">
      <alignment horizontal="center" vertical="center" wrapText="1"/>
    </xf>
    <xf numFmtId="0" fontId="27" fillId="5" borderId="37" xfId="178" applyFont="1" applyFill="1" applyBorder="1" applyAlignment="1">
      <alignment vertical="center" wrapText="1"/>
    </xf>
    <xf numFmtId="0" fontId="44" fillId="5" borderId="3" xfId="178" applyFont="1" applyFill="1" applyBorder="1" applyAlignment="1">
      <alignment vertical="center" wrapText="1"/>
    </xf>
    <xf numFmtId="3" fontId="45" fillId="5" borderId="30" xfId="178" applyNumberFormat="1" applyFont="1" applyFill="1" applyBorder="1" applyAlignment="1">
      <alignment horizontal="right" vertical="center"/>
    </xf>
    <xf numFmtId="3" fontId="45" fillId="5" borderId="31" xfId="178" applyNumberFormat="1" applyFont="1" applyFill="1" applyBorder="1" applyAlignment="1">
      <alignment horizontal="right" vertical="center"/>
    </xf>
    <xf numFmtId="10" fontId="27" fillId="5" borderId="30" xfId="177" applyNumberFormat="1" applyFont="1" applyFill="1" applyBorder="1" applyAlignment="1">
      <alignment horizontal="right" vertical="center"/>
    </xf>
    <xf numFmtId="10" fontId="45" fillId="5" borderId="3" xfId="177" applyNumberFormat="1" applyFont="1" applyFill="1" applyBorder="1" applyAlignment="1">
      <alignment horizontal="right" vertical="center"/>
    </xf>
    <xf numFmtId="10" fontId="46" fillId="5" borderId="32" xfId="177" applyNumberFormat="1" applyFont="1" applyFill="1" applyBorder="1" applyAlignment="1">
      <alignment horizontal="left" vertical="center"/>
    </xf>
    <xf numFmtId="0" fontId="44" fillId="0" borderId="30" xfId="178" quotePrefix="1" applyFont="1" applyBorder="1" applyAlignment="1">
      <alignment vertical="center" wrapText="1"/>
    </xf>
    <xf numFmtId="49" fontId="47" fillId="10" borderId="38" xfId="178" applyNumberFormat="1" applyFont="1" applyFill="1" applyBorder="1" applyAlignment="1">
      <alignment horizontal="center" vertical="center" wrapText="1"/>
    </xf>
    <xf numFmtId="0" fontId="47" fillId="10" borderId="37" xfId="178" applyFont="1" applyFill="1" applyBorder="1" applyAlignment="1">
      <alignment vertical="center" wrapText="1"/>
    </xf>
    <xf numFmtId="0" fontId="47" fillId="10" borderId="3" xfId="178" applyFont="1" applyFill="1" applyBorder="1" applyAlignment="1">
      <alignment vertical="center" wrapText="1"/>
    </xf>
    <xf numFmtId="3" fontId="27" fillId="10" borderId="3" xfId="178" applyNumberFormat="1" applyFont="1" applyFill="1" applyBorder="1" applyAlignment="1">
      <alignment horizontal="right" vertical="center"/>
    </xf>
    <xf numFmtId="3" fontId="27" fillId="10" borderId="37" xfId="178" applyNumberFormat="1" applyFont="1" applyFill="1" applyBorder="1" applyAlignment="1">
      <alignment horizontal="right" vertical="center"/>
    </xf>
    <xf numFmtId="10" fontId="27" fillId="10" borderId="30" xfId="177" applyNumberFormat="1" applyFont="1" applyFill="1" applyBorder="1" applyAlignment="1">
      <alignment horizontal="right" vertical="center"/>
    </xf>
    <xf numFmtId="10" fontId="45" fillId="10" borderId="33" xfId="177" applyNumberFormat="1" applyFont="1" applyFill="1" applyBorder="1" applyAlignment="1">
      <alignment horizontal="right" vertical="center"/>
    </xf>
    <xf numFmtId="10" fontId="46" fillId="10" borderId="36" xfId="177" applyNumberFormat="1" applyFont="1" applyFill="1" applyBorder="1" applyAlignment="1">
      <alignment horizontal="left" vertical="center"/>
    </xf>
    <xf numFmtId="0" fontId="44" fillId="0" borderId="39" xfId="178" quotePrefix="1" applyFont="1" applyBorder="1" applyAlignment="1">
      <alignment vertical="center" wrapText="1"/>
    </xf>
    <xf numFmtId="0" fontId="48" fillId="11" borderId="30" xfId="178" applyFont="1" applyFill="1" applyBorder="1" applyAlignment="1">
      <alignment vertical="center" wrapText="1"/>
    </xf>
    <xf numFmtId="3" fontId="48" fillId="11" borderId="41" xfId="178" applyNumberFormat="1" applyFont="1" applyFill="1" applyBorder="1" applyAlignment="1">
      <alignment horizontal="right" vertical="center"/>
    </xf>
    <xf numFmtId="3" fontId="48" fillId="11" borderId="42" xfId="178" applyNumberFormat="1" applyFont="1" applyFill="1" applyBorder="1" applyAlignment="1">
      <alignment horizontal="right" vertical="center"/>
    </xf>
    <xf numFmtId="10" fontId="48" fillId="11" borderId="30" xfId="177" applyNumberFormat="1" applyFont="1" applyFill="1" applyBorder="1" applyAlignment="1">
      <alignment horizontal="right" vertical="center"/>
    </xf>
    <xf numFmtId="10" fontId="49" fillId="11" borderId="41" xfId="177" applyNumberFormat="1" applyFont="1" applyFill="1" applyBorder="1" applyAlignment="1">
      <alignment horizontal="right" vertical="center"/>
    </xf>
    <xf numFmtId="10" fontId="50" fillId="11" borderId="43" xfId="177" applyNumberFormat="1" applyFont="1" applyFill="1" applyBorder="1" applyAlignment="1">
      <alignment horizontal="left" vertical="center"/>
    </xf>
    <xf numFmtId="49" fontId="15" fillId="2" borderId="46" xfId="178" applyNumberFormat="1" applyFont="1" applyFill="1" applyBorder="1" applyAlignment="1">
      <alignment horizontal="center" vertical="center" wrapText="1"/>
    </xf>
    <xf numFmtId="3" fontId="13" fillId="0" borderId="46" xfId="179" applyNumberFormat="1" applyFont="1" applyFill="1" applyBorder="1" applyAlignment="1">
      <alignment horizontal="right" vertical="center"/>
    </xf>
    <xf numFmtId="3" fontId="15" fillId="0" borderId="46" xfId="178" applyNumberFormat="1" applyFont="1" applyBorder="1" applyAlignment="1">
      <alignment horizontal="right" vertical="center"/>
    </xf>
    <xf numFmtId="3" fontId="15" fillId="0" borderId="47" xfId="178" applyNumberFormat="1" applyFont="1" applyBorder="1" applyAlignment="1">
      <alignment horizontal="right" vertical="center"/>
    </xf>
    <xf numFmtId="10" fontId="15" fillId="0" borderId="46" xfId="177" applyNumberFormat="1" applyFont="1" applyFill="1" applyBorder="1" applyAlignment="1">
      <alignment horizontal="right" vertical="center"/>
    </xf>
    <xf numFmtId="3" fontId="15" fillId="0" borderId="46" xfId="177" applyNumberFormat="1" applyFont="1" applyFill="1" applyBorder="1" applyAlignment="1">
      <alignment horizontal="right" vertical="center"/>
    </xf>
    <xf numFmtId="3" fontId="15" fillId="0" borderId="19" xfId="177" applyNumberFormat="1" applyFont="1" applyFill="1" applyBorder="1" applyAlignment="1">
      <alignment horizontal="right" vertical="center"/>
    </xf>
    <xf numFmtId="10" fontId="13" fillId="0" borderId="46" xfId="177" applyNumberFormat="1" applyFont="1" applyFill="1" applyBorder="1" applyAlignment="1">
      <alignment horizontal="right" vertical="center"/>
    </xf>
    <xf numFmtId="49" fontId="15" fillId="2" borderId="41" xfId="178" applyNumberFormat="1" applyFont="1" applyFill="1" applyBorder="1" applyAlignment="1">
      <alignment horizontal="center" vertical="center" wrapText="1"/>
    </xf>
    <xf numFmtId="49" fontId="15" fillId="2" borderId="39" xfId="178" applyNumberFormat="1" applyFont="1" applyFill="1" applyBorder="1" applyAlignment="1">
      <alignment horizontal="center" vertical="center" wrapText="1"/>
    </xf>
    <xf numFmtId="3" fontId="15" fillId="0" borderId="43" xfId="177" applyNumberFormat="1" applyFont="1" applyFill="1" applyBorder="1" applyAlignment="1">
      <alignment horizontal="right" vertical="center"/>
    </xf>
    <xf numFmtId="0" fontId="30" fillId="0" borderId="0" xfId="178" applyFont="1"/>
    <xf numFmtId="0" fontId="48" fillId="11" borderId="46" xfId="178" applyFont="1" applyFill="1" applyBorder="1" applyAlignment="1">
      <alignment vertical="center" wrapText="1"/>
    </xf>
    <xf numFmtId="3" fontId="49" fillId="11" borderId="46" xfId="178" applyNumberFormat="1" applyFont="1" applyFill="1" applyBorder="1" applyAlignment="1">
      <alignment horizontal="right" vertical="center"/>
    </xf>
    <xf numFmtId="3" fontId="48" fillId="11" borderId="46" xfId="178" applyNumberFormat="1" applyFont="1" applyFill="1" applyBorder="1" applyAlignment="1">
      <alignment horizontal="right" vertical="center"/>
    </xf>
    <xf numFmtId="3" fontId="48" fillId="11" borderId="47" xfId="178" applyNumberFormat="1" applyFont="1" applyFill="1" applyBorder="1" applyAlignment="1">
      <alignment horizontal="right" vertical="center"/>
    </xf>
    <xf numFmtId="10" fontId="15" fillId="11" borderId="39" xfId="177" applyNumberFormat="1" applyFont="1" applyFill="1" applyBorder="1" applyAlignment="1">
      <alignment horizontal="right" vertical="center"/>
    </xf>
    <xf numFmtId="3" fontId="15" fillId="11" borderId="49" xfId="177" applyNumberFormat="1" applyFont="1" applyFill="1" applyBorder="1" applyAlignment="1">
      <alignment horizontal="right" vertical="center"/>
    </xf>
    <xf numFmtId="3" fontId="15" fillId="11" borderId="0" xfId="177" applyNumberFormat="1" applyFont="1" applyFill="1" applyBorder="1" applyAlignment="1">
      <alignment horizontal="right" vertical="center"/>
    </xf>
    <xf numFmtId="10" fontId="13" fillId="11" borderId="46" xfId="177" applyNumberFormat="1" applyFont="1" applyFill="1" applyBorder="1" applyAlignment="1">
      <alignment horizontal="right" vertical="center"/>
    </xf>
    <xf numFmtId="10" fontId="50" fillId="11" borderId="22" xfId="177" applyNumberFormat="1" applyFont="1" applyFill="1" applyBorder="1" applyAlignment="1">
      <alignment horizontal="left" vertical="center"/>
    </xf>
    <xf numFmtId="0" fontId="52" fillId="0" borderId="33" xfId="178" applyFont="1" applyBorder="1" applyAlignment="1">
      <alignment horizontal="left" vertical="center" wrapText="1"/>
    </xf>
    <xf numFmtId="0" fontId="53" fillId="0" borderId="29" xfId="178" applyFont="1" applyBorder="1" applyAlignment="1">
      <alignment horizontal="left" vertical="center" wrapText="1"/>
    </xf>
    <xf numFmtId="49" fontId="53" fillId="0" borderId="41" xfId="178" applyNumberFormat="1" applyFont="1" applyBorder="1" applyAlignment="1">
      <alignment horizontal="center" vertical="center" wrapText="1"/>
    </xf>
    <xf numFmtId="3" fontId="51" fillId="0" borderId="39" xfId="179" applyNumberFormat="1" applyFont="1" applyFill="1" applyBorder="1" applyAlignment="1">
      <alignment horizontal="right" vertical="center"/>
    </xf>
    <xf numFmtId="3" fontId="53" fillId="0" borderId="46" xfId="178" applyNumberFormat="1" applyFont="1" applyBorder="1" applyAlignment="1">
      <alignment horizontal="right" vertical="center"/>
    </xf>
    <xf numFmtId="3" fontId="53" fillId="0" borderId="47" xfId="178" applyNumberFormat="1" applyFont="1" applyBorder="1" applyAlignment="1">
      <alignment horizontal="right" vertical="center"/>
    </xf>
    <xf numFmtId="3" fontId="27" fillId="5" borderId="49" xfId="177" applyNumberFormat="1" applyFont="1" applyFill="1" applyBorder="1" applyAlignment="1">
      <alignment horizontal="right" vertical="center"/>
    </xf>
    <xf numFmtId="3" fontId="27" fillId="5" borderId="0" xfId="177" applyNumberFormat="1" applyFont="1" applyFill="1" applyBorder="1" applyAlignment="1">
      <alignment horizontal="right" vertical="center"/>
    </xf>
    <xf numFmtId="10" fontId="13" fillId="0" borderId="44" xfId="177" applyNumberFormat="1" applyFont="1" applyFill="1" applyBorder="1" applyAlignment="1">
      <alignment horizontal="right" vertical="center"/>
    </xf>
    <xf numFmtId="10" fontId="46" fillId="0" borderId="48" xfId="177" applyNumberFormat="1" applyFont="1" applyFill="1" applyBorder="1" applyAlignment="1">
      <alignment horizontal="left" vertical="center"/>
    </xf>
    <xf numFmtId="3" fontId="45" fillId="10" borderId="3" xfId="178" applyNumberFormat="1" applyFont="1" applyFill="1" applyBorder="1" applyAlignment="1">
      <alignment horizontal="right" vertical="center"/>
    </xf>
    <xf numFmtId="3" fontId="45" fillId="10" borderId="37" xfId="178" applyNumberFormat="1" applyFont="1" applyFill="1" applyBorder="1" applyAlignment="1">
      <alignment horizontal="right" vertical="center"/>
    </xf>
    <xf numFmtId="10" fontId="45" fillId="10" borderId="3" xfId="177" applyNumberFormat="1" applyFont="1" applyFill="1" applyBorder="1" applyAlignment="1">
      <alignment horizontal="right" vertical="center"/>
    </xf>
    <xf numFmtId="0" fontId="48" fillId="11" borderId="51" xfId="178" quotePrefix="1" applyFont="1" applyFill="1" applyBorder="1" applyAlignment="1">
      <alignment horizontal="left" vertical="center" wrapText="1"/>
    </xf>
    <xf numFmtId="3" fontId="49" fillId="11" borderId="51" xfId="178" applyNumberFormat="1" applyFont="1" applyFill="1" applyBorder="1" applyAlignment="1">
      <alignment horizontal="right" vertical="center"/>
    </xf>
    <xf numFmtId="3" fontId="49" fillId="11" borderId="50" xfId="178" applyNumberFormat="1" applyFont="1" applyFill="1" applyBorder="1" applyAlignment="1">
      <alignment horizontal="right" vertical="center"/>
    </xf>
    <xf numFmtId="10" fontId="15" fillId="11" borderId="30" xfId="177" applyNumberFormat="1" applyFont="1" applyFill="1" applyBorder="1" applyAlignment="1">
      <alignment horizontal="right" vertical="center"/>
    </xf>
    <xf numFmtId="0" fontId="15" fillId="0" borderId="52" xfId="178" applyFont="1" applyBorder="1" applyAlignment="1">
      <alignment horizontal="left" vertical="center" wrapText="1"/>
    </xf>
    <xf numFmtId="0" fontId="15" fillId="0" borderId="47" xfId="178" quotePrefix="1" applyFont="1" applyBorder="1" applyAlignment="1">
      <alignment horizontal="left" vertical="center" wrapText="1"/>
    </xf>
    <xf numFmtId="49" fontId="15" fillId="0" borderId="46" xfId="178" quotePrefix="1" applyNumberFormat="1" applyFont="1" applyBorder="1" applyAlignment="1">
      <alignment horizontal="center" vertical="center" wrapText="1"/>
    </xf>
    <xf numFmtId="3" fontId="13" fillId="0" borderId="39" xfId="179" applyNumberFormat="1" applyFont="1" applyFill="1" applyBorder="1" applyAlignment="1">
      <alignment horizontal="right" vertical="center"/>
    </xf>
    <xf numFmtId="10" fontId="46" fillId="0" borderId="22" xfId="177" applyNumberFormat="1" applyFont="1" applyFill="1" applyBorder="1" applyAlignment="1">
      <alignment horizontal="left" vertical="center"/>
    </xf>
    <xf numFmtId="0" fontId="15" fillId="0" borderId="19" xfId="178" quotePrefix="1" applyFont="1" applyBorder="1" applyAlignment="1">
      <alignment horizontal="left" vertical="center" wrapText="1"/>
    </xf>
    <xf numFmtId="0" fontId="15" fillId="2" borderId="46" xfId="178" quotePrefix="1" applyFont="1" applyFill="1" applyBorder="1" applyAlignment="1">
      <alignment horizontal="center" vertical="center" wrapText="1"/>
    </xf>
    <xf numFmtId="0" fontId="15" fillId="2" borderId="41" xfId="178" quotePrefix="1" applyFont="1" applyFill="1" applyBorder="1" applyAlignment="1">
      <alignment horizontal="center" vertical="center" wrapText="1"/>
    </xf>
    <xf numFmtId="3" fontId="13" fillId="0" borderId="44" xfId="179" applyNumberFormat="1" applyFont="1" applyFill="1" applyBorder="1" applyAlignment="1">
      <alignment horizontal="right" vertical="center"/>
    </xf>
    <xf numFmtId="3" fontId="15" fillId="0" borderId="22" xfId="177" applyNumberFormat="1" applyFont="1" applyFill="1" applyBorder="1" applyAlignment="1">
      <alignment horizontal="right" vertical="center"/>
    </xf>
    <xf numFmtId="10" fontId="51" fillId="0" borderId="22" xfId="177" applyNumberFormat="1" applyFont="1" applyFill="1" applyBorder="1" applyAlignment="1">
      <alignment horizontal="left" vertical="center"/>
    </xf>
    <xf numFmtId="0" fontId="15" fillId="2" borderId="39" xfId="178" quotePrefix="1" applyFont="1" applyFill="1" applyBorder="1" applyAlignment="1">
      <alignment horizontal="center" vertical="center" wrapText="1"/>
    </xf>
    <xf numFmtId="0" fontId="48" fillId="11" borderId="54" xfId="178" quotePrefix="1" applyFont="1" applyFill="1" applyBorder="1" applyAlignment="1">
      <alignment horizontal="left" vertical="center" wrapText="1"/>
    </xf>
    <xf numFmtId="3" fontId="49" fillId="11" borderId="54" xfId="178" applyNumberFormat="1" applyFont="1" applyFill="1" applyBorder="1" applyAlignment="1">
      <alignment horizontal="right" vertical="center"/>
    </xf>
    <xf numFmtId="3" fontId="48" fillId="11" borderId="55" xfId="178" applyNumberFormat="1" applyFont="1" applyFill="1" applyBorder="1" applyAlignment="1">
      <alignment horizontal="right" vertical="center"/>
    </xf>
    <xf numFmtId="10" fontId="13" fillId="11" borderId="44" xfId="177" applyNumberFormat="1" applyFont="1" applyFill="1" applyBorder="1" applyAlignment="1">
      <alignment horizontal="right" vertical="center"/>
    </xf>
    <xf numFmtId="10" fontId="50" fillId="11" borderId="48" xfId="177" applyNumberFormat="1" applyFont="1" applyFill="1" applyBorder="1" applyAlignment="1">
      <alignment horizontal="left" vertical="center"/>
    </xf>
    <xf numFmtId="3" fontId="27" fillId="10" borderId="46" xfId="178" applyNumberFormat="1" applyFont="1" applyFill="1" applyBorder="1" applyAlignment="1">
      <alignment horizontal="right" vertical="center"/>
    </xf>
    <xf numFmtId="3" fontId="27" fillId="10" borderId="42" xfId="178" applyNumberFormat="1" applyFont="1" applyFill="1" applyBorder="1" applyAlignment="1">
      <alignment horizontal="right" vertical="center"/>
    </xf>
    <xf numFmtId="49" fontId="48" fillId="11" borderId="41" xfId="178" applyNumberFormat="1" applyFont="1" applyFill="1" applyBorder="1" applyAlignment="1">
      <alignment horizontal="left" vertical="center" wrapText="1"/>
    </xf>
    <xf numFmtId="3" fontId="49" fillId="11" borderId="30" xfId="178" applyNumberFormat="1" applyFont="1" applyFill="1" applyBorder="1" applyAlignment="1">
      <alignment horizontal="right" vertical="center"/>
    </xf>
    <xf numFmtId="3" fontId="49" fillId="11" borderId="31" xfId="178" applyNumberFormat="1" applyFont="1" applyFill="1" applyBorder="1" applyAlignment="1">
      <alignment horizontal="right" vertical="center"/>
    </xf>
    <xf numFmtId="0" fontId="15" fillId="0" borderId="19" xfId="178" applyFont="1" applyBorder="1" applyAlignment="1">
      <alignment vertical="center" wrapText="1"/>
    </xf>
    <xf numFmtId="0" fontId="53" fillId="0" borderId="19" xfId="178" applyFont="1" applyBorder="1" applyAlignment="1">
      <alignment vertical="center" wrapText="1"/>
    </xf>
    <xf numFmtId="49" fontId="53" fillId="2" borderId="46" xfId="178" applyNumberFormat="1" applyFont="1" applyFill="1" applyBorder="1" applyAlignment="1">
      <alignment horizontal="center" vertical="center" wrapText="1"/>
    </xf>
    <xf numFmtId="3" fontId="51" fillId="0" borderId="46" xfId="179" applyNumberFormat="1" applyFont="1" applyFill="1" applyBorder="1" applyAlignment="1">
      <alignment horizontal="right" vertical="center"/>
    </xf>
    <xf numFmtId="10" fontId="27" fillId="5" borderId="39" xfId="177" applyNumberFormat="1" applyFont="1" applyFill="1" applyBorder="1" applyAlignment="1">
      <alignment horizontal="right" vertical="center"/>
    </xf>
    <xf numFmtId="49" fontId="54" fillId="0" borderId="39" xfId="178" applyNumberFormat="1" applyFont="1" applyBorder="1" applyAlignment="1">
      <alignment vertical="center" wrapText="1"/>
    </xf>
    <xf numFmtId="0" fontId="53" fillId="2" borderId="0" xfId="178" applyFont="1" applyFill="1" applyAlignment="1">
      <alignment vertical="center" wrapText="1"/>
    </xf>
    <xf numFmtId="49" fontId="53" fillId="2" borderId="39" xfId="178" applyNumberFormat="1" applyFont="1" applyFill="1" applyBorder="1" applyAlignment="1">
      <alignment horizontal="center" vertical="center" wrapText="1"/>
    </xf>
    <xf numFmtId="3" fontId="51" fillId="0" borderId="41" xfId="179" applyNumberFormat="1" applyFont="1" applyFill="1" applyBorder="1" applyAlignment="1">
      <alignment horizontal="right" vertical="center"/>
    </xf>
    <xf numFmtId="49" fontId="54" fillId="0" borderId="41" xfId="178" applyNumberFormat="1" applyFont="1" applyBorder="1" applyAlignment="1">
      <alignment vertical="center" wrapText="1"/>
    </xf>
    <xf numFmtId="0" fontId="53" fillId="2" borderId="19" xfId="178" applyFont="1" applyFill="1" applyBorder="1" applyAlignment="1">
      <alignment vertical="center" wrapText="1"/>
    </xf>
    <xf numFmtId="49" fontId="48" fillId="11" borderId="33" xfId="178" applyNumberFormat="1" applyFont="1" applyFill="1" applyBorder="1" applyAlignment="1">
      <alignment horizontal="left" vertical="center" wrapText="1"/>
    </xf>
    <xf numFmtId="3" fontId="49" fillId="11" borderId="33" xfId="178" applyNumberFormat="1" applyFont="1" applyFill="1" applyBorder="1" applyAlignment="1">
      <alignment horizontal="right" vertical="center"/>
    </xf>
    <xf numFmtId="10" fontId="15" fillId="11" borderId="54" xfId="177" applyNumberFormat="1" applyFont="1" applyFill="1" applyBorder="1" applyAlignment="1">
      <alignment horizontal="right" vertical="center"/>
    </xf>
    <xf numFmtId="10" fontId="49" fillId="11" borderId="57" xfId="177" applyNumberFormat="1" applyFont="1" applyFill="1" applyBorder="1" applyAlignment="1">
      <alignment horizontal="left" vertical="center"/>
    </xf>
    <xf numFmtId="49" fontId="52" fillId="0" borderId="52" xfId="178" applyNumberFormat="1" applyFont="1" applyBorder="1" applyAlignment="1">
      <alignment horizontal="left" vertical="center" wrapText="1"/>
    </xf>
    <xf numFmtId="0" fontId="53" fillId="2" borderId="52" xfId="178" applyFont="1" applyFill="1" applyBorder="1" applyAlignment="1">
      <alignment vertical="center" wrapText="1"/>
    </xf>
    <xf numFmtId="49" fontId="55" fillId="2" borderId="39" xfId="178" applyNumberFormat="1" applyFont="1" applyFill="1" applyBorder="1" applyAlignment="1">
      <alignment horizontal="center" vertical="center" wrapText="1"/>
    </xf>
    <xf numFmtId="3" fontId="51" fillId="0" borderId="39" xfId="178" applyNumberFormat="1" applyFont="1" applyBorder="1" applyAlignment="1">
      <alignment horizontal="right" vertical="center"/>
    </xf>
    <xf numFmtId="3" fontId="53" fillId="0" borderId="39" xfId="178" applyNumberFormat="1" applyFont="1" applyBorder="1" applyAlignment="1">
      <alignment horizontal="right" vertical="center"/>
    </xf>
    <xf numFmtId="3" fontId="53" fillId="0" borderId="52" xfId="178" applyNumberFormat="1" applyFont="1" applyBorder="1" applyAlignment="1">
      <alignment horizontal="right" vertical="center"/>
    </xf>
    <xf numFmtId="3" fontId="27" fillId="5" borderId="39" xfId="177" applyNumberFormat="1" applyFont="1" applyFill="1" applyBorder="1" applyAlignment="1">
      <alignment horizontal="right" vertical="center"/>
    </xf>
    <xf numFmtId="3" fontId="27" fillId="5" borderId="52" xfId="177" applyNumberFormat="1" applyFont="1" applyFill="1" applyBorder="1" applyAlignment="1">
      <alignment horizontal="right" vertical="center"/>
    </xf>
    <xf numFmtId="10" fontId="46" fillId="0" borderId="49" xfId="177" applyNumberFormat="1" applyFont="1" applyFill="1" applyBorder="1" applyAlignment="1">
      <alignment horizontal="left" vertical="center"/>
    </xf>
    <xf numFmtId="49" fontId="47" fillId="10" borderId="3" xfId="178" applyNumberFormat="1" applyFont="1" applyFill="1" applyBorder="1" applyAlignment="1">
      <alignment horizontal="center" vertical="center" wrapText="1"/>
    </xf>
    <xf numFmtId="10" fontId="45" fillId="10" borderId="36" xfId="177" applyNumberFormat="1" applyFont="1" applyFill="1" applyBorder="1" applyAlignment="1">
      <alignment horizontal="left" vertical="center"/>
    </xf>
    <xf numFmtId="0" fontId="48" fillId="11" borderId="46" xfId="178" quotePrefix="1" applyFont="1" applyFill="1" applyBorder="1" applyAlignment="1">
      <alignment horizontal="left" vertical="center" wrapText="1"/>
    </xf>
    <xf numFmtId="3" fontId="49" fillId="11" borderId="47" xfId="178" applyNumberFormat="1" applyFont="1" applyFill="1" applyBorder="1" applyAlignment="1">
      <alignment horizontal="right" vertical="center"/>
    </xf>
    <xf numFmtId="10" fontId="48" fillId="11" borderId="51" xfId="177" applyNumberFormat="1" applyFont="1" applyFill="1" applyBorder="1" applyAlignment="1">
      <alignment horizontal="right" vertical="center"/>
    </xf>
    <xf numFmtId="10" fontId="49" fillId="11" borderId="43" xfId="177" applyNumberFormat="1" applyFont="1" applyFill="1" applyBorder="1" applyAlignment="1">
      <alignment horizontal="left" vertical="center"/>
    </xf>
    <xf numFmtId="0" fontId="53" fillId="0" borderId="42" xfId="178" applyFont="1" applyBorder="1" applyAlignment="1">
      <alignment horizontal="left" vertical="center" wrapText="1"/>
    </xf>
    <xf numFmtId="49" fontId="55" fillId="0" borderId="41" xfId="178" quotePrefix="1" applyNumberFormat="1" applyFont="1" applyBorder="1" applyAlignment="1">
      <alignment horizontal="center" vertical="center" wrapText="1"/>
    </xf>
    <xf numFmtId="10" fontId="45" fillId="0" borderId="22" xfId="177" applyNumberFormat="1" applyFont="1" applyFill="1" applyBorder="1" applyAlignment="1">
      <alignment horizontal="left" vertical="center"/>
    </xf>
    <xf numFmtId="0" fontId="15" fillId="0" borderId="0" xfId="178" applyFont="1" applyAlignment="1">
      <alignment vertical="center" wrapText="1"/>
    </xf>
    <xf numFmtId="0" fontId="15" fillId="2" borderId="39" xfId="178" applyFont="1" applyFill="1" applyBorder="1" applyAlignment="1">
      <alignment horizontal="center" vertical="center" wrapText="1"/>
    </xf>
    <xf numFmtId="10" fontId="13" fillId="0" borderId="22" xfId="177" applyNumberFormat="1" applyFont="1" applyFill="1" applyBorder="1" applyAlignment="1">
      <alignment horizontal="left" vertical="center"/>
    </xf>
    <xf numFmtId="0" fontId="53" fillId="0" borderId="45" xfId="178" applyFont="1" applyBorder="1" applyAlignment="1">
      <alignment vertical="center" wrapText="1"/>
    </xf>
    <xf numFmtId="0" fontId="55" fillId="2" borderId="46" xfId="178" applyFont="1" applyFill="1" applyBorder="1" applyAlignment="1">
      <alignment horizontal="center" vertical="center" wrapText="1"/>
    </xf>
    <xf numFmtId="49" fontId="54" fillId="0" borderId="52" xfId="178" applyNumberFormat="1" applyFont="1" applyBorder="1" applyAlignment="1">
      <alignment horizontal="center" vertical="center" wrapText="1"/>
    </xf>
    <xf numFmtId="0" fontId="15" fillId="0" borderId="46" xfId="178" applyFont="1" applyBorder="1" applyAlignment="1">
      <alignment vertical="center" wrapText="1"/>
    </xf>
    <xf numFmtId="0" fontId="15" fillId="2" borderId="44" xfId="178" applyFont="1" applyFill="1" applyBorder="1" applyAlignment="1">
      <alignment horizontal="center" vertical="center" wrapText="1"/>
    </xf>
    <xf numFmtId="3" fontId="15" fillId="0" borderId="58" xfId="178" applyNumberFormat="1" applyFont="1" applyBorder="1" applyAlignment="1">
      <alignment horizontal="right" vertical="center"/>
    </xf>
    <xf numFmtId="0" fontId="44" fillId="0" borderId="33" xfId="178" quotePrefix="1" applyFont="1" applyBorder="1" applyAlignment="1">
      <alignment vertical="center" wrapText="1"/>
    </xf>
    <xf numFmtId="3" fontId="48" fillId="11" borderId="54" xfId="178" applyNumberFormat="1" applyFont="1" applyFill="1" applyBorder="1" applyAlignment="1">
      <alignment horizontal="right" vertical="center"/>
    </xf>
    <xf numFmtId="49" fontId="27" fillId="5" borderId="3" xfId="178" applyNumberFormat="1" applyFont="1" applyFill="1" applyBorder="1" applyAlignment="1">
      <alignment horizontal="center" vertical="center" wrapText="1"/>
    </xf>
    <xf numFmtId="49" fontId="27" fillId="5" borderId="36" xfId="178" applyNumberFormat="1" applyFont="1" applyFill="1" applyBorder="1" applyAlignment="1">
      <alignment horizontal="center" vertical="center" wrapText="1"/>
    </xf>
    <xf numFmtId="49" fontId="27" fillId="5" borderId="38" xfId="178" applyNumberFormat="1" applyFont="1" applyFill="1" applyBorder="1" applyAlignment="1">
      <alignment horizontal="left" vertical="center" wrapText="1"/>
    </xf>
    <xf numFmtId="49" fontId="27" fillId="5" borderId="3" xfId="178" applyNumberFormat="1" applyFont="1" applyFill="1" applyBorder="1" applyAlignment="1">
      <alignment horizontal="left" vertical="center" wrapText="1"/>
    </xf>
    <xf numFmtId="49" fontId="47" fillId="10" borderId="36" xfId="178" applyNumberFormat="1" applyFont="1" applyFill="1" applyBorder="1" applyAlignment="1">
      <alignment horizontal="center" vertical="center" wrapText="1"/>
    </xf>
    <xf numFmtId="3" fontId="45" fillId="10" borderId="30" xfId="178" applyNumberFormat="1" applyFont="1" applyFill="1" applyBorder="1" applyAlignment="1">
      <alignment horizontal="right" vertical="center"/>
    </xf>
    <xf numFmtId="3" fontId="45" fillId="10" borderId="31" xfId="178" applyNumberFormat="1" applyFont="1" applyFill="1" applyBorder="1" applyAlignment="1">
      <alignment horizontal="right" vertical="center"/>
    </xf>
    <xf numFmtId="0" fontId="15" fillId="0" borderId="47" xfId="178" applyFont="1" applyBorder="1" applyAlignment="1">
      <alignment vertical="center" wrapText="1"/>
    </xf>
    <xf numFmtId="0" fontId="15" fillId="2" borderId="46" xfId="178" applyFont="1" applyFill="1" applyBorder="1" applyAlignment="1">
      <alignment horizontal="center" vertical="center" wrapText="1"/>
    </xf>
    <xf numFmtId="0" fontId="48" fillId="11" borderId="33" xfId="178" quotePrefix="1" applyFont="1" applyFill="1" applyBorder="1" applyAlignment="1">
      <alignment horizontal="left" vertical="center" wrapText="1"/>
    </xf>
    <xf numFmtId="3" fontId="48" fillId="11" borderId="58" xfId="178" applyNumberFormat="1" applyFont="1" applyFill="1" applyBorder="1" applyAlignment="1">
      <alignment horizontal="right" vertical="center"/>
    </xf>
    <xf numFmtId="49" fontId="27" fillId="5" borderId="37" xfId="178" applyNumberFormat="1" applyFont="1" applyFill="1" applyBorder="1" applyAlignment="1">
      <alignment horizontal="left" vertical="center" wrapText="1"/>
    </xf>
    <xf numFmtId="3" fontId="45" fillId="5" borderId="3" xfId="178" applyNumberFormat="1" applyFont="1" applyFill="1" applyBorder="1" applyAlignment="1">
      <alignment horizontal="right" vertical="center"/>
    </xf>
    <xf numFmtId="3" fontId="45" fillId="5" borderId="37" xfId="178" applyNumberFormat="1" applyFont="1" applyFill="1" applyBorder="1" applyAlignment="1">
      <alignment horizontal="right" vertical="center"/>
    </xf>
    <xf numFmtId="10" fontId="45" fillId="5" borderId="32" xfId="177" applyNumberFormat="1" applyFont="1" applyFill="1" applyBorder="1" applyAlignment="1">
      <alignment horizontal="left" vertical="center"/>
    </xf>
    <xf numFmtId="0" fontId="48" fillId="11" borderId="41" xfId="178" quotePrefix="1" applyFont="1" applyFill="1" applyBorder="1" applyAlignment="1">
      <alignment horizontal="left" vertical="center" wrapText="1"/>
    </xf>
    <xf numFmtId="3" fontId="49" fillId="11" borderId="41" xfId="178" applyNumberFormat="1" applyFont="1" applyFill="1" applyBorder="1" applyAlignment="1">
      <alignment horizontal="right" vertical="center"/>
    </xf>
    <xf numFmtId="3" fontId="49" fillId="11" borderId="42" xfId="178" applyNumberFormat="1" applyFont="1" applyFill="1" applyBorder="1" applyAlignment="1">
      <alignment horizontal="right" vertical="center"/>
    </xf>
    <xf numFmtId="0" fontId="48" fillId="2" borderId="41" xfId="178" applyFont="1" applyFill="1" applyBorder="1" applyAlignment="1">
      <alignment horizontal="center" vertical="center" wrapText="1"/>
    </xf>
    <xf numFmtId="0" fontId="15" fillId="2" borderId="45" xfId="178" applyFont="1" applyFill="1" applyBorder="1" applyAlignment="1">
      <alignment vertical="center" wrapText="1"/>
    </xf>
    <xf numFmtId="3" fontId="48" fillId="11" borderId="0" xfId="177" applyNumberFormat="1" applyFont="1" applyFill="1" applyBorder="1" applyAlignment="1">
      <alignment horizontal="right" vertical="center"/>
    </xf>
    <xf numFmtId="49" fontId="27" fillId="5" borderId="32" xfId="178" applyNumberFormat="1" applyFont="1" applyFill="1" applyBorder="1" applyAlignment="1">
      <alignment horizontal="center" vertical="center" wrapText="1"/>
    </xf>
    <xf numFmtId="49" fontId="27" fillId="5" borderId="31" xfId="178" applyNumberFormat="1" applyFont="1" applyFill="1" applyBorder="1" applyAlignment="1">
      <alignment horizontal="left" vertical="center" wrapText="1"/>
    </xf>
    <xf numFmtId="49" fontId="27" fillId="5" borderId="30" xfId="178" applyNumberFormat="1" applyFont="1" applyFill="1" applyBorder="1" applyAlignment="1">
      <alignment horizontal="left" vertical="center" wrapText="1"/>
    </xf>
    <xf numFmtId="3" fontId="27" fillId="5" borderId="44" xfId="178" applyNumberFormat="1" applyFont="1" applyFill="1" applyBorder="1" applyAlignment="1">
      <alignment horizontal="right" vertical="center"/>
    </xf>
    <xf numFmtId="3" fontId="27" fillId="5" borderId="3" xfId="178" applyNumberFormat="1" applyFont="1" applyFill="1" applyBorder="1" applyAlignment="1">
      <alignment horizontal="right" vertical="center"/>
    </xf>
    <xf numFmtId="3" fontId="27" fillId="5" borderId="37" xfId="178" applyNumberFormat="1" applyFont="1" applyFill="1" applyBorder="1" applyAlignment="1">
      <alignment horizontal="right" vertical="center"/>
    </xf>
    <xf numFmtId="0" fontId="27" fillId="0" borderId="30" xfId="178" quotePrefix="1" applyFont="1" applyBorder="1" applyAlignment="1">
      <alignment vertical="center" wrapText="1"/>
    </xf>
    <xf numFmtId="49" fontId="27" fillId="10" borderId="36" xfId="178" applyNumberFormat="1" applyFont="1" applyFill="1" applyBorder="1" applyAlignment="1">
      <alignment horizontal="center" vertical="center" wrapText="1"/>
    </xf>
    <xf numFmtId="0" fontId="27" fillId="10" borderId="37" xfId="178" applyFont="1" applyFill="1" applyBorder="1" applyAlignment="1">
      <alignment vertical="center" wrapText="1"/>
    </xf>
    <xf numFmtId="0" fontId="27" fillId="10" borderId="3" xfId="178" applyFont="1" applyFill="1" applyBorder="1" applyAlignment="1">
      <alignment vertical="center" wrapText="1"/>
    </xf>
    <xf numFmtId="0" fontId="27" fillId="0" borderId="39" xfId="178" quotePrefix="1" applyFont="1" applyBorder="1" applyAlignment="1">
      <alignment vertical="center" wrapText="1"/>
    </xf>
    <xf numFmtId="0" fontId="48" fillId="11" borderId="30" xfId="178" quotePrefix="1" applyFont="1" applyFill="1" applyBorder="1" applyAlignment="1">
      <alignment horizontal="left" vertical="center" wrapText="1"/>
    </xf>
    <xf numFmtId="3" fontId="49" fillId="11" borderId="49" xfId="178" applyNumberFormat="1" applyFont="1" applyFill="1" applyBorder="1" applyAlignment="1">
      <alignment horizontal="right" vertical="center"/>
    </xf>
    <xf numFmtId="3" fontId="49" fillId="11" borderId="0" xfId="178" applyNumberFormat="1" applyFont="1" applyFill="1" applyAlignment="1">
      <alignment horizontal="right" vertical="center"/>
    </xf>
    <xf numFmtId="10" fontId="15" fillId="11" borderId="51" xfId="177" applyNumberFormat="1" applyFont="1" applyFill="1" applyBorder="1" applyAlignment="1">
      <alignment horizontal="right" vertical="center"/>
    </xf>
    <xf numFmtId="0" fontId="15" fillId="0" borderId="47" xfId="178" quotePrefix="1" applyFont="1" applyBorder="1" applyAlignment="1">
      <alignment vertical="center" wrapText="1"/>
    </xf>
    <xf numFmtId="3" fontId="13" fillId="0" borderId="22" xfId="179" applyNumberFormat="1" applyFont="1" applyFill="1" applyBorder="1" applyAlignment="1">
      <alignment horizontal="right" vertical="center"/>
    </xf>
    <xf numFmtId="3" fontId="15" fillId="0" borderId="22" xfId="178" applyNumberFormat="1" applyFont="1" applyBorder="1" applyAlignment="1">
      <alignment horizontal="right" vertical="center"/>
    </xf>
    <xf numFmtId="0" fontId="15" fillId="2" borderId="45" xfId="178" quotePrefix="1" applyFont="1" applyFill="1" applyBorder="1" applyAlignment="1">
      <alignment horizontal="left" vertical="center" wrapText="1"/>
    </xf>
    <xf numFmtId="0" fontId="27" fillId="0" borderId="33" xfId="178" quotePrefix="1" applyFont="1" applyBorder="1" applyAlignment="1">
      <alignment vertical="center" wrapText="1"/>
    </xf>
    <xf numFmtId="0" fontId="15" fillId="2" borderId="54" xfId="178" quotePrefix="1" applyFont="1" applyFill="1" applyBorder="1" applyAlignment="1">
      <alignment vertical="center" wrapText="1"/>
    </xf>
    <xf numFmtId="0" fontId="15" fillId="2" borderId="54" xfId="178" quotePrefix="1" applyFont="1" applyFill="1" applyBorder="1" applyAlignment="1">
      <alignment horizontal="center" vertical="center" wrapText="1"/>
    </xf>
    <xf numFmtId="3" fontId="13" fillId="0" borderId="57" xfId="179" applyNumberFormat="1" applyFont="1" applyFill="1" applyBorder="1" applyAlignment="1">
      <alignment horizontal="right" vertical="center"/>
    </xf>
    <xf numFmtId="3" fontId="15" fillId="0" borderId="57" xfId="178" applyNumberFormat="1" applyFont="1" applyBorder="1" applyAlignment="1">
      <alignment horizontal="right" vertical="center"/>
    </xf>
    <xf numFmtId="3" fontId="15" fillId="0" borderId="55" xfId="178" applyNumberFormat="1" applyFont="1" applyBorder="1" applyAlignment="1">
      <alignment horizontal="right" vertical="center"/>
    </xf>
    <xf numFmtId="10" fontId="15" fillId="0" borderId="54" xfId="177" applyNumberFormat="1" applyFont="1" applyFill="1" applyBorder="1" applyAlignment="1">
      <alignment horizontal="right" vertical="center"/>
    </xf>
    <xf numFmtId="3" fontId="15" fillId="0" borderId="57" xfId="177" applyNumberFormat="1" applyFont="1" applyFill="1" applyBorder="1" applyAlignment="1">
      <alignment horizontal="right" vertical="center"/>
    </xf>
    <xf numFmtId="3" fontId="15" fillId="0" borderId="53" xfId="177" applyNumberFormat="1" applyFont="1" applyFill="1" applyBorder="1" applyAlignment="1">
      <alignment horizontal="right" vertical="center"/>
    </xf>
    <xf numFmtId="10" fontId="13" fillId="0" borderId="54" xfId="177" applyNumberFormat="1" applyFont="1" applyFill="1" applyBorder="1" applyAlignment="1">
      <alignment horizontal="right" vertical="center"/>
    </xf>
    <xf numFmtId="3" fontId="49" fillId="11" borderId="61" xfId="178" applyNumberFormat="1" applyFont="1" applyFill="1" applyBorder="1" applyAlignment="1">
      <alignment horizontal="right" vertical="center"/>
    </xf>
    <xf numFmtId="3" fontId="49" fillId="11" borderId="40" xfId="178" applyNumberFormat="1" applyFont="1" applyFill="1" applyBorder="1" applyAlignment="1">
      <alignment horizontal="right" vertical="center"/>
    </xf>
    <xf numFmtId="10" fontId="49" fillId="11" borderId="51" xfId="177" applyNumberFormat="1" applyFont="1" applyFill="1" applyBorder="1" applyAlignment="1">
      <alignment horizontal="right" vertical="center"/>
    </xf>
    <xf numFmtId="0" fontId="48" fillId="0" borderId="0" xfId="178" applyFont="1" applyAlignment="1">
      <alignment horizontal="left" vertical="center" wrapText="1"/>
    </xf>
    <xf numFmtId="0" fontId="15" fillId="0" borderId="46" xfId="178" quotePrefix="1" applyFont="1" applyBorder="1" applyAlignment="1">
      <alignment horizontal="left" vertical="center" wrapText="1"/>
    </xf>
    <xf numFmtId="3" fontId="13" fillId="0" borderId="48" xfId="178" applyNumberFormat="1" applyFont="1" applyBorder="1" applyAlignment="1">
      <alignment horizontal="right" vertical="center"/>
    </xf>
    <xf numFmtId="3" fontId="13" fillId="0" borderId="22" xfId="178" applyNumberFormat="1" applyFont="1" applyBorder="1" applyAlignment="1">
      <alignment horizontal="right" vertical="center"/>
    </xf>
    <xf numFmtId="3" fontId="13" fillId="0" borderId="19" xfId="178" applyNumberFormat="1" applyFont="1" applyBorder="1" applyAlignment="1">
      <alignment horizontal="right" vertical="center"/>
    </xf>
    <xf numFmtId="0" fontId="48" fillId="2" borderId="29" xfId="178" applyFont="1" applyFill="1" applyBorder="1" applyAlignment="1">
      <alignment vertical="center" wrapText="1"/>
    </xf>
    <xf numFmtId="0" fontId="15" fillId="0" borderId="33" xfId="178" quotePrefix="1" applyFont="1" applyBorder="1" applyAlignment="1">
      <alignment horizontal="left" vertical="center" wrapText="1"/>
    </xf>
    <xf numFmtId="10" fontId="13" fillId="0" borderId="57" xfId="177" applyNumberFormat="1" applyFont="1" applyFill="1" applyBorder="1" applyAlignment="1">
      <alignment horizontal="left" vertical="center"/>
    </xf>
    <xf numFmtId="49" fontId="54" fillId="10" borderId="43" xfId="178" applyNumberFormat="1" applyFont="1" applyFill="1" applyBorder="1" applyAlignment="1">
      <alignment horizontal="center" vertical="center" wrapText="1"/>
    </xf>
    <xf numFmtId="0" fontId="54" fillId="10" borderId="42" xfId="178" applyFont="1" applyFill="1" applyBorder="1" applyAlignment="1">
      <alignment vertical="center" wrapText="1"/>
    </xf>
    <xf numFmtId="3" fontId="46" fillId="10" borderId="41" xfId="179" applyNumberFormat="1" applyFont="1" applyFill="1" applyBorder="1" applyAlignment="1">
      <alignment horizontal="right" vertical="center"/>
    </xf>
    <xf numFmtId="3" fontId="53" fillId="10" borderId="43" xfId="178" applyNumberFormat="1" applyFont="1" applyFill="1" applyBorder="1" applyAlignment="1">
      <alignment horizontal="right" vertical="center"/>
    </xf>
    <xf numFmtId="3" fontId="53" fillId="10" borderId="42" xfId="178" applyNumberFormat="1" applyFont="1" applyFill="1" applyBorder="1" applyAlignment="1">
      <alignment horizontal="right" vertical="center"/>
    </xf>
    <xf numFmtId="10" fontId="13" fillId="0" borderId="41" xfId="177" applyNumberFormat="1" applyFont="1" applyFill="1" applyBorder="1" applyAlignment="1">
      <alignment horizontal="right" vertical="center"/>
    </xf>
    <xf numFmtId="10" fontId="46" fillId="0" borderId="43" xfId="177" applyNumberFormat="1" applyFont="1" applyFill="1" applyBorder="1" applyAlignment="1">
      <alignment horizontal="left" vertical="center"/>
    </xf>
    <xf numFmtId="0" fontId="52" fillId="11" borderId="52" xfId="178" quotePrefix="1" applyFont="1" applyFill="1" applyBorder="1" applyAlignment="1">
      <alignment horizontal="left" vertical="center" wrapText="1"/>
    </xf>
    <xf numFmtId="3" fontId="50" fillId="11" borderId="46" xfId="179" applyNumberFormat="1" applyFont="1" applyFill="1" applyBorder="1" applyAlignment="1">
      <alignment horizontal="right" vertical="center"/>
    </xf>
    <xf numFmtId="3" fontId="53" fillId="11" borderId="22" xfId="178" applyNumberFormat="1" applyFont="1" applyFill="1" applyBorder="1" applyAlignment="1">
      <alignment horizontal="right" vertical="center"/>
    </xf>
    <xf numFmtId="3" fontId="53" fillId="11" borderId="47" xfId="178" applyNumberFormat="1" applyFont="1" applyFill="1" applyBorder="1" applyAlignment="1">
      <alignment horizontal="right" vertical="center"/>
    </xf>
    <xf numFmtId="0" fontId="52" fillId="2" borderId="48" xfId="178" applyFont="1" applyFill="1" applyBorder="1" applyAlignment="1">
      <alignment vertical="center" wrapText="1"/>
    </xf>
    <xf numFmtId="0" fontId="53" fillId="2" borderId="47" xfId="178" quotePrefix="1" applyFont="1" applyFill="1" applyBorder="1" applyAlignment="1">
      <alignment vertical="center" wrapText="1"/>
    </xf>
    <xf numFmtId="0" fontId="53" fillId="2" borderId="47" xfId="178" quotePrefix="1" applyFont="1" applyFill="1" applyBorder="1" applyAlignment="1">
      <alignment horizontal="center" vertical="center" wrapText="1"/>
    </xf>
    <xf numFmtId="3" fontId="53" fillId="0" borderId="22" xfId="178" applyNumberFormat="1" applyFont="1" applyBorder="1" applyAlignment="1">
      <alignment horizontal="right" vertical="center"/>
    </xf>
    <xf numFmtId="0" fontId="52" fillId="2" borderId="49" xfId="178" applyFont="1" applyFill="1" applyBorder="1" applyAlignment="1">
      <alignment vertical="center" wrapText="1"/>
    </xf>
    <xf numFmtId="0" fontId="52" fillId="2" borderId="43" xfId="178" applyFont="1" applyFill="1" applyBorder="1" applyAlignment="1">
      <alignment vertical="center" wrapText="1"/>
    </xf>
    <xf numFmtId="0" fontId="52" fillId="11" borderId="58" xfId="178" quotePrefix="1" applyFont="1" applyFill="1" applyBorder="1" applyAlignment="1">
      <alignment horizontal="left" vertical="center" wrapText="1"/>
    </xf>
    <xf numFmtId="3" fontId="50" fillId="11" borderId="54" xfId="179" applyNumberFormat="1" applyFont="1" applyFill="1" applyBorder="1" applyAlignment="1">
      <alignment horizontal="right" vertical="center"/>
    </xf>
    <xf numFmtId="3" fontId="53" fillId="11" borderId="48" xfId="178" applyNumberFormat="1" applyFont="1" applyFill="1" applyBorder="1" applyAlignment="1">
      <alignment horizontal="right" vertical="center"/>
    </xf>
    <xf numFmtId="3" fontId="53" fillId="11" borderId="58" xfId="178" applyNumberFormat="1" applyFont="1" applyFill="1" applyBorder="1" applyAlignment="1">
      <alignment horizontal="right" vertical="center"/>
    </xf>
    <xf numFmtId="0" fontId="27" fillId="5" borderId="3" xfId="178" applyFont="1" applyFill="1" applyBorder="1" applyAlignment="1">
      <alignment horizontal="center" vertical="center" wrapText="1"/>
    </xf>
    <xf numFmtId="0" fontId="27" fillId="5" borderId="36" xfId="178" applyFont="1" applyFill="1" applyBorder="1" applyAlignment="1">
      <alignment horizontal="center" vertical="center" wrapText="1"/>
    </xf>
    <xf numFmtId="0" fontId="27" fillId="5" borderId="3" xfId="178" applyFont="1" applyFill="1" applyBorder="1" applyAlignment="1">
      <alignment vertical="center" wrapText="1"/>
    </xf>
    <xf numFmtId="10" fontId="45" fillId="5" borderId="30" xfId="177" applyNumberFormat="1" applyFont="1" applyFill="1" applyBorder="1" applyAlignment="1">
      <alignment horizontal="right" vertical="center"/>
    </xf>
    <xf numFmtId="0" fontId="53" fillId="0" borderId="30" xfId="178" applyFont="1" applyBorder="1" applyAlignment="1">
      <alignment vertical="center" wrapText="1"/>
    </xf>
    <xf numFmtId="0" fontId="47" fillId="10" borderId="36" xfId="178" applyFont="1" applyFill="1" applyBorder="1" applyAlignment="1">
      <alignment horizontal="center" vertical="center" wrapText="1"/>
    </xf>
    <xf numFmtId="0" fontId="53" fillId="0" borderId="39" xfId="178" applyFont="1" applyBorder="1" applyAlignment="1">
      <alignment vertical="center" wrapText="1"/>
    </xf>
    <xf numFmtId="0" fontId="48" fillId="2" borderId="49" xfId="178" applyFont="1" applyFill="1" applyBorder="1" applyAlignment="1">
      <alignment horizontal="center" vertical="center" wrapText="1"/>
    </xf>
    <xf numFmtId="0" fontId="15" fillId="0" borderId="21" xfId="178" applyFont="1" applyBorder="1" applyAlignment="1">
      <alignment vertical="center"/>
    </xf>
    <xf numFmtId="49" fontId="15" fillId="2" borderId="41" xfId="178" applyNumberFormat="1" applyFont="1" applyFill="1" applyBorder="1" applyAlignment="1">
      <alignment horizontal="center" vertical="center"/>
    </xf>
    <xf numFmtId="3" fontId="13" fillId="0" borderId="41" xfId="179" applyNumberFormat="1" applyFont="1" applyFill="1" applyBorder="1" applyAlignment="1">
      <alignment horizontal="right" vertical="center"/>
    </xf>
    <xf numFmtId="0" fontId="15" fillId="0" borderId="42" xfId="178" applyFont="1" applyBorder="1" applyAlignment="1">
      <alignment vertical="center" wrapText="1"/>
    </xf>
    <xf numFmtId="49" fontId="15" fillId="0" borderId="44" xfId="178" applyNumberFormat="1" applyFont="1" applyBorder="1" applyAlignment="1">
      <alignment horizontal="center" vertical="center" wrapText="1"/>
    </xf>
    <xf numFmtId="3" fontId="31" fillId="0" borderId="0" xfId="178" applyNumberFormat="1"/>
    <xf numFmtId="0" fontId="15" fillId="2" borderId="47" xfId="178" applyFont="1" applyFill="1" applyBorder="1" applyAlignment="1">
      <alignment horizontal="left" vertical="center" wrapText="1"/>
    </xf>
    <xf numFmtId="49" fontId="15" fillId="0" borderId="46" xfId="178" applyNumberFormat="1" applyFont="1" applyBorder="1" applyAlignment="1">
      <alignment horizontal="center" vertical="center" wrapText="1"/>
    </xf>
    <xf numFmtId="0" fontId="48" fillId="2" borderId="39" xfId="178" applyFont="1" applyFill="1" applyBorder="1" applyAlignment="1">
      <alignment horizontal="center" vertical="center" wrapText="1"/>
    </xf>
    <xf numFmtId="3" fontId="15" fillId="0" borderId="41" xfId="178" applyNumberFormat="1" applyFont="1" applyBorder="1" applyAlignment="1">
      <alignment horizontal="right" vertical="center"/>
    </xf>
    <xf numFmtId="3" fontId="15" fillId="0" borderId="42" xfId="178" applyNumberFormat="1" applyFont="1" applyBorder="1" applyAlignment="1">
      <alignment horizontal="right" vertical="center"/>
    </xf>
    <xf numFmtId="10" fontId="13" fillId="0" borderId="43" xfId="177" applyNumberFormat="1" applyFont="1" applyFill="1" applyBorder="1" applyAlignment="1">
      <alignment horizontal="left" vertical="center"/>
    </xf>
    <xf numFmtId="0" fontId="48" fillId="2" borderId="35" xfId="178" applyFont="1" applyFill="1" applyBorder="1" applyAlignment="1">
      <alignment horizontal="center" vertical="center" wrapText="1"/>
    </xf>
    <xf numFmtId="0" fontId="15" fillId="0" borderId="55" xfId="178" applyFont="1" applyBorder="1" applyAlignment="1">
      <alignment vertical="center" wrapText="1"/>
    </xf>
    <xf numFmtId="49" fontId="15" fillId="2" borderId="54" xfId="178" applyNumberFormat="1" applyFont="1" applyFill="1" applyBorder="1" applyAlignment="1">
      <alignment horizontal="center" vertical="center" wrapText="1"/>
    </xf>
    <xf numFmtId="3" fontId="13" fillId="0" borderId="54" xfId="179" applyNumberFormat="1" applyFont="1" applyFill="1" applyBorder="1" applyAlignment="1">
      <alignment horizontal="right" vertical="center"/>
    </xf>
    <xf numFmtId="0" fontId="48" fillId="11" borderId="46" xfId="178" applyFont="1" applyFill="1" applyBorder="1" applyAlignment="1">
      <alignment horizontal="left" vertical="center" wrapText="1"/>
    </xf>
    <xf numFmtId="3" fontId="15" fillId="11" borderId="46" xfId="178" applyNumberFormat="1" applyFont="1" applyFill="1" applyBorder="1" applyAlignment="1">
      <alignment horizontal="right" vertical="center"/>
    </xf>
    <xf numFmtId="3" fontId="15" fillId="11" borderId="47" xfId="178" applyNumberFormat="1" applyFont="1" applyFill="1" applyBorder="1" applyAlignment="1">
      <alignment horizontal="right" vertical="center"/>
    </xf>
    <xf numFmtId="10" fontId="48" fillId="11" borderId="46" xfId="177" applyNumberFormat="1" applyFont="1" applyFill="1" applyBorder="1" applyAlignment="1">
      <alignment horizontal="right" vertical="center"/>
    </xf>
    <xf numFmtId="10" fontId="49" fillId="11" borderId="46" xfId="177" applyNumberFormat="1" applyFont="1" applyFill="1" applyBorder="1" applyAlignment="1">
      <alignment horizontal="right" vertical="center"/>
    </xf>
    <xf numFmtId="10" fontId="49" fillId="11" borderId="22" xfId="177" applyNumberFormat="1" applyFont="1" applyFill="1" applyBorder="1" applyAlignment="1">
      <alignment horizontal="left" vertical="center"/>
    </xf>
    <xf numFmtId="0" fontId="48" fillId="0" borderId="49" xfId="178" applyFont="1" applyBorder="1" applyAlignment="1">
      <alignment horizontal="center" vertical="center" wrapText="1"/>
    </xf>
    <xf numFmtId="0" fontId="15" fillId="0" borderId="29" xfId="178" applyFont="1" applyBorder="1" applyAlignment="1">
      <alignment horizontal="left" vertical="center" wrapText="1"/>
    </xf>
    <xf numFmtId="0" fontId="15" fillId="0" borderId="33" xfId="178" applyFont="1" applyBorder="1" applyAlignment="1">
      <alignment horizontal="center" vertical="center" wrapText="1"/>
    </xf>
    <xf numFmtId="3" fontId="13" fillId="0" borderId="33" xfId="179" applyNumberFormat="1" applyFont="1" applyFill="1" applyBorder="1" applyAlignment="1">
      <alignment horizontal="right" vertical="center"/>
    </xf>
    <xf numFmtId="0" fontId="48" fillId="0" borderId="57" xfId="178" applyFont="1" applyBorder="1" applyAlignment="1">
      <alignment horizontal="center" vertical="center" wrapText="1"/>
    </xf>
    <xf numFmtId="3" fontId="15" fillId="0" borderId="48" xfId="177" applyNumberFormat="1" applyFont="1" applyFill="1" applyBorder="1" applyAlignment="1">
      <alignment horizontal="right" vertical="center"/>
    </xf>
    <xf numFmtId="10" fontId="13" fillId="0" borderId="48" xfId="177" applyNumberFormat="1" applyFont="1" applyFill="1" applyBorder="1" applyAlignment="1">
      <alignment horizontal="left" vertical="center"/>
    </xf>
    <xf numFmtId="10" fontId="27" fillId="10" borderId="39" xfId="177" applyNumberFormat="1" applyFont="1" applyFill="1" applyBorder="1" applyAlignment="1">
      <alignment horizontal="right" vertical="center"/>
    </xf>
    <xf numFmtId="49" fontId="15" fillId="2" borderId="44" xfId="178" applyNumberFormat="1" applyFont="1" applyFill="1" applyBorder="1" applyAlignment="1">
      <alignment horizontal="center" vertical="center" wrapText="1"/>
    </xf>
    <xf numFmtId="10" fontId="15" fillId="11" borderId="46" xfId="177" applyNumberFormat="1" applyFont="1" applyFill="1" applyBorder="1" applyAlignment="1">
      <alignment horizontal="right" vertical="center"/>
    </xf>
    <xf numFmtId="0" fontId="48" fillId="0" borderId="44" xfId="178" applyFont="1" applyBorder="1" applyAlignment="1">
      <alignment vertical="center" wrapText="1"/>
    </xf>
    <xf numFmtId="0" fontId="15" fillId="0" borderId="46" xfId="178" applyFont="1" applyBorder="1" applyAlignment="1">
      <alignment horizontal="left" vertical="center" wrapText="1"/>
    </xf>
    <xf numFmtId="0" fontId="15" fillId="0" borderId="46" xfId="178" applyFont="1" applyBorder="1" applyAlignment="1">
      <alignment horizontal="center" vertical="center" wrapText="1"/>
    </xf>
    <xf numFmtId="0" fontId="48" fillId="0" borderId="39" xfId="178" applyFont="1" applyBorder="1" applyAlignment="1">
      <alignment vertical="center" wrapText="1"/>
    </xf>
    <xf numFmtId="0" fontId="15" fillId="0" borderId="41" xfId="178" applyFont="1" applyBorder="1" applyAlignment="1">
      <alignment horizontal="left" vertical="center" wrapText="1"/>
    </xf>
    <xf numFmtId="0" fontId="15" fillId="2" borderId="41" xfId="178" applyFont="1" applyFill="1" applyBorder="1" applyAlignment="1">
      <alignment horizontal="center" vertical="center" wrapText="1"/>
    </xf>
    <xf numFmtId="10" fontId="51" fillId="0" borderId="43" xfId="177" applyNumberFormat="1" applyFont="1" applyFill="1" applyBorder="1" applyAlignment="1">
      <alignment horizontal="left" vertical="center"/>
    </xf>
    <xf numFmtId="0" fontId="48" fillId="0" borderId="33" xfId="178" applyFont="1" applyBorder="1" applyAlignment="1">
      <alignment vertical="center" wrapText="1"/>
    </xf>
    <xf numFmtId="0" fontId="15" fillId="2" borderId="27" xfId="9" applyFont="1" applyFill="1" applyBorder="1" applyAlignment="1">
      <alignment horizontal="left" vertical="center" wrapText="1"/>
    </xf>
    <xf numFmtId="0" fontId="15" fillId="2" borderId="33" xfId="178" applyFont="1" applyFill="1" applyBorder="1" applyAlignment="1">
      <alignment horizontal="center" vertical="center" wrapText="1"/>
    </xf>
    <xf numFmtId="10" fontId="51" fillId="0" borderId="48" xfId="177" applyNumberFormat="1" applyFont="1" applyFill="1" applyBorder="1" applyAlignment="1">
      <alignment horizontal="left" vertical="center"/>
    </xf>
    <xf numFmtId="0" fontId="48" fillId="0" borderId="44" xfId="178" applyFont="1" applyBorder="1" applyAlignment="1">
      <alignment horizontal="left" vertical="center" wrapText="1"/>
    </xf>
    <xf numFmtId="0" fontId="15" fillId="0" borderId="21" xfId="178" applyFont="1" applyBorder="1" applyAlignment="1">
      <alignment vertical="center" wrapText="1"/>
    </xf>
    <xf numFmtId="10" fontId="15" fillId="5" borderId="46" xfId="177" applyNumberFormat="1" applyFont="1" applyFill="1" applyBorder="1" applyAlignment="1">
      <alignment horizontal="right" vertical="center"/>
    </xf>
    <xf numFmtId="3" fontId="15" fillId="5" borderId="22" xfId="177" applyNumberFormat="1" applyFont="1" applyFill="1" applyBorder="1" applyAlignment="1">
      <alignment horizontal="right" vertical="center"/>
    </xf>
    <xf numFmtId="3" fontId="15" fillId="5" borderId="19" xfId="177" applyNumberFormat="1" applyFont="1" applyFill="1" applyBorder="1" applyAlignment="1">
      <alignment horizontal="right" vertical="center"/>
    </xf>
    <xf numFmtId="0" fontId="48" fillId="0" borderId="39" xfId="178" applyFont="1" applyBorder="1" applyAlignment="1">
      <alignment horizontal="left" vertical="center" wrapText="1"/>
    </xf>
    <xf numFmtId="3" fontId="15" fillId="11" borderId="48" xfId="177" applyNumberFormat="1" applyFont="1" applyFill="1" applyBorder="1" applyAlignment="1">
      <alignment horizontal="right" vertical="center"/>
    </xf>
    <xf numFmtId="3" fontId="48" fillId="11" borderId="45" xfId="177" applyNumberFormat="1" applyFont="1" applyFill="1" applyBorder="1" applyAlignment="1">
      <alignment horizontal="right" vertical="center"/>
    </xf>
    <xf numFmtId="10" fontId="49" fillId="11" borderId="44" xfId="177" applyNumberFormat="1" applyFont="1" applyFill="1" applyBorder="1" applyAlignment="1">
      <alignment horizontal="right" vertical="center"/>
    </xf>
    <xf numFmtId="10" fontId="50" fillId="11" borderId="57" xfId="177" applyNumberFormat="1" applyFont="1" applyFill="1" applyBorder="1" applyAlignment="1">
      <alignment horizontal="left" vertical="center"/>
    </xf>
    <xf numFmtId="0" fontId="47" fillId="10" borderId="35" xfId="178" applyFont="1" applyFill="1" applyBorder="1" applyAlignment="1">
      <alignment horizontal="center" vertical="center" wrapText="1"/>
    </xf>
    <xf numFmtId="0" fontId="47" fillId="10" borderId="34" xfId="178" applyFont="1" applyFill="1" applyBorder="1" applyAlignment="1">
      <alignment vertical="center" wrapText="1"/>
    </xf>
    <xf numFmtId="0" fontId="47" fillId="10" borderId="33" xfId="178" applyFont="1" applyFill="1" applyBorder="1" applyAlignment="1">
      <alignment vertical="center" wrapText="1"/>
    </xf>
    <xf numFmtId="3" fontId="45" fillId="10" borderId="33" xfId="178" applyNumberFormat="1" applyFont="1" applyFill="1" applyBorder="1" applyAlignment="1">
      <alignment horizontal="right" vertical="center"/>
    </xf>
    <xf numFmtId="3" fontId="45" fillId="10" borderId="34" xfId="178" applyNumberFormat="1" applyFont="1" applyFill="1" applyBorder="1" applyAlignment="1">
      <alignment horizontal="right" vertical="center"/>
    </xf>
    <xf numFmtId="10" fontId="45" fillId="10" borderId="35" xfId="177" applyNumberFormat="1" applyFont="1" applyFill="1" applyBorder="1" applyAlignment="1">
      <alignment horizontal="left" vertical="center"/>
    </xf>
    <xf numFmtId="0" fontId="48" fillId="11" borderId="39" xfId="178" quotePrefix="1" applyFont="1" applyFill="1" applyBorder="1" applyAlignment="1">
      <alignment horizontal="left" vertical="center" wrapText="1"/>
    </xf>
    <xf numFmtId="0" fontId="15" fillId="0" borderId="45" xfId="178" applyFont="1" applyBorder="1" applyAlignment="1">
      <alignment horizontal="left" vertical="center" wrapText="1"/>
    </xf>
    <xf numFmtId="49" fontId="15" fillId="2" borderId="46" xfId="178" quotePrefix="1" applyNumberFormat="1" applyFont="1" applyFill="1" applyBorder="1" applyAlignment="1">
      <alignment horizontal="center" vertical="center" wrapText="1"/>
    </xf>
    <xf numFmtId="49" fontId="15" fillId="2" borderId="44" xfId="178" quotePrefix="1" applyNumberFormat="1" applyFont="1" applyFill="1" applyBorder="1" applyAlignment="1">
      <alignment horizontal="center" vertical="center" wrapText="1"/>
    </xf>
    <xf numFmtId="3" fontId="13" fillId="2" borderId="46" xfId="179" applyNumberFormat="1" applyFont="1" applyFill="1" applyBorder="1" applyAlignment="1">
      <alignment horizontal="right" vertical="center"/>
    </xf>
    <xf numFmtId="0" fontId="10" fillId="0" borderId="39" xfId="178" applyFont="1" applyBorder="1" applyAlignment="1">
      <alignment vertical="center" wrapText="1"/>
    </xf>
    <xf numFmtId="0" fontId="57" fillId="10" borderId="36" xfId="178" applyFont="1" applyFill="1" applyBorder="1" applyAlignment="1">
      <alignment horizontal="center" vertical="center" wrapText="1"/>
    </xf>
    <xf numFmtId="0" fontId="57" fillId="10" borderId="37" xfId="178" applyFont="1" applyFill="1" applyBorder="1" applyAlignment="1">
      <alignment vertical="center" wrapText="1"/>
    </xf>
    <xf numFmtId="0" fontId="57" fillId="10" borderId="3" xfId="178" applyFont="1" applyFill="1" applyBorder="1" applyAlignment="1">
      <alignment vertical="center" wrapText="1"/>
    </xf>
    <xf numFmtId="3" fontId="58" fillId="10" borderId="30" xfId="178" applyNumberFormat="1" applyFont="1" applyFill="1" applyBorder="1" applyAlignment="1">
      <alignment horizontal="right" vertical="center"/>
    </xf>
    <xf numFmtId="3" fontId="58" fillId="10" borderId="31" xfId="178" applyNumberFormat="1" applyFont="1" applyFill="1" applyBorder="1" applyAlignment="1">
      <alignment horizontal="right" vertical="center"/>
    </xf>
    <xf numFmtId="10" fontId="58" fillId="10" borderId="36" xfId="177" applyNumberFormat="1" applyFont="1" applyFill="1" applyBorder="1" applyAlignment="1">
      <alignment horizontal="left" vertical="center"/>
    </xf>
    <xf numFmtId="0" fontId="59" fillId="11" borderId="51" xfId="178" quotePrefix="1" applyFont="1" applyFill="1" applyBorder="1" applyAlignment="1">
      <alignment horizontal="left" vertical="center" wrapText="1"/>
    </xf>
    <xf numFmtId="3" fontId="38" fillId="11" borderId="40" xfId="178" applyNumberFormat="1" applyFont="1" applyFill="1" applyBorder="1" applyAlignment="1">
      <alignment horizontal="right" vertical="center"/>
    </xf>
    <xf numFmtId="3" fontId="38" fillId="11" borderId="51" xfId="178" applyNumberFormat="1" applyFont="1" applyFill="1" applyBorder="1" applyAlignment="1">
      <alignment horizontal="right" vertical="center"/>
    </xf>
    <xf numFmtId="3" fontId="38" fillId="11" borderId="50" xfId="178" applyNumberFormat="1" applyFont="1" applyFill="1" applyBorder="1" applyAlignment="1">
      <alignment horizontal="right" vertical="center"/>
    </xf>
    <xf numFmtId="10" fontId="38" fillId="11" borderId="43" xfId="177" applyNumberFormat="1" applyFont="1" applyFill="1" applyBorder="1" applyAlignment="1">
      <alignment horizontal="left" vertical="center"/>
    </xf>
    <xf numFmtId="49" fontId="10" fillId="2" borderId="46" xfId="178" quotePrefix="1" applyNumberFormat="1" applyFont="1" applyFill="1" applyBorder="1" applyAlignment="1">
      <alignment horizontal="center" vertical="center" wrapText="1"/>
    </xf>
    <xf numFmtId="3" fontId="61" fillId="0" borderId="19" xfId="179" applyNumberFormat="1" applyFont="1" applyFill="1" applyBorder="1" applyAlignment="1">
      <alignment horizontal="right" vertical="center"/>
    </xf>
    <xf numFmtId="3" fontId="10" fillId="0" borderId="46" xfId="178" applyNumberFormat="1" applyFont="1" applyBorder="1" applyAlignment="1">
      <alignment horizontal="right" vertical="center"/>
    </xf>
    <xf numFmtId="3" fontId="10" fillId="0" borderId="19" xfId="178" applyNumberFormat="1" applyFont="1" applyBorder="1" applyAlignment="1">
      <alignment horizontal="right" vertical="center"/>
    </xf>
    <xf numFmtId="3" fontId="15" fillId="0" borderId="21" xfId="177" applyNumberFormat="1" applyFont="1" applyFill="1" applyBorder="1" applyAlignment="1">
      <alignment horizontal="right" vertical="center"/>
    </xf>
    <xf numFmtId="49" fontId="10" fillId="2" borderId="46" xfId="178" applyNumberFormat="1" applyFont="1" applyFill="1" applyBorder="1" applyAlignment="1">
      <alignment horizontal="center" vertical="center" wrapText="1"/>
    </xf>
    <xf numFmtId="49" fontId="10" fillId="2" borderId="41" xfId="178" applyNumberFormat="1" applyFont="1" applyFill="1" applyBorder="1" applyAlignment="1">
      <alignment horizontal="center" vertical="center" wrapText="1"/>
    </xf>
    <xf numFmtId="3" fontId="61" fillId="0" borderId="21" xfId="179" applyNumberFormat="1" applyFont="1" applyFill="1" applyBorder="1" applyAlignment="1">
      <alignment horizontal="right" vertical="center"/>
    </xf>
    <xf numFmtId="0" fontId="37" fillId="0" borderId="19" xfId="178" applyFont="1" applyBorder="1" applyAlignment="1">
      <alignment horizontal="left" vertical="center" wrapText="1"/>
    </xf>
    <xf numFmtId="0" fontId="37" fillId="0" borderId="46" xfId="178" applyFont="1" applyBorder="1" applyAlignment="1">
      <alignment horizontal="left" vertical="center" wrapText="1"/>
    </xf>
    <xf numFmtId="49" fontId="37" fillId="2" borderId="41" xfId="178" applyNumberFormat="1" applyFont="1" applyFill="1" applyBorder="1" applyAlignment="1">
      <alignment horizontal="center" vertical="center" wrapText="1"/>
    </xf>
    <xf numFmtId="0" fontId="59" fillId="11" borderId="44" xfId="178" quotePrefix="1" applyFont="1" applyFill="1" applyBorder="1" applyAlignment="1">
      <alignment horizontal="left" vertical="center" wrapText="1"/>
    </xf>
    <xf numFmtId="3" fontId="38" fillId="11" borderId="46" xfId="178" applyNumberFormat="1" applyFont="1" applyFill="1" applyBorder="1" applyAlignment="1">
      <alignment horizontal="right" vertical="center"/>
    </xf>
    <xf numFmtId="3" fontId="38" fillId="11" borderId="47" xfId="178" applyNumberFormat="1" applyFont="1" applyFill="1" applyBorder="1" applyAlignment="1">
      <alignment horizontal="right" vertical="center"/>
    </xf>
    <xf numFmtId="10" fontId="38" fillId="11" borderId="22" xfId="177" applyNumberFormat="1" applyFont="1" applyFill="1" applyBorder="1" applyAlignment="1">
      <alignment horizontal="left" vertical="center"/>
    </xf>
    <xf numFmtId="0" fontId="59" fillId="0" borderId="39" xfId="178" applyFont="1" applyBorder="1" applyAlignment="1">
      <alignment vertical="center" wrapText="1"/>
    </xf>
    <xf numFmtId="0" fontId="10" fillId="2" borderId="58" xfId="178" quotePrefix="1" applyFont="1" applyFill="1" applyBorder="1" applyAlignment="1">
      <alignment horizontal="left" vertical="center" wrapText="1"/>
    </xf>
    <xf numFmtId="3" fontId="10" fillId="2" borderId="46" xfId="178" applyNumberFormat="1" applyFont="1" applyFill="1" applyBorder="1" applyAlignment="1">
      <alignment horizontal="right" vertical="center"/>
    </xf>
    <xf numFmtId="3" fontId="10" fillId="2" borderId="19" xfId="178" applyNumberFormat="1" applyFont="1" applyFill="1" applyBorder="1" applyAlignment="1">
      <alignment horizontal="right" vertical="center"/>
    </xf>
    <xf numFmtId="10" fontId="61" fillId="0" borderId="22" xfId="177" applyNumberFormat="1" applyFont="1" applyFill="1" applyBorder="1" applyAlignment="1">
      <alignment horizontal="left" vertical="center"/>
    </xf>
    <xf numFmtId="0" fontId="10" fillId="0" borderId="33" xfId="178" applyFont="1" applyBorder="1" applyAlignment="1">
      <alignment vertical="center" wrapText="1"/>
    </xf>
    <xf numFmtId="0" fontId="59" fillId="0" borderId="33" xfId="178" applyFont="1" applyBorder="1" applyAlignment="1">
      <alignment vertical="center" wrapText="1"/>
    </xf>
    <xf numFmtId="0" fontId="10" fillId="2" borderId="55" xfId="178" quotePrefix="1" applyFont="1" applyFill="1" applyBorder="1" applyAlignment="1">
      <alignment horizontal="left" vertical="center" wrapText="1"/>
    </xf>
    <xf numFmtId="3" fontId="61" fillId="0" borderId="53" xfId="179" applyNumberFormat="1" applyFont="1" applyFill="1" applyBorder="1" applyAlignment="1">
      <alignment horizontal="right" vertical="center"/>
    </xf>
    <xf numFmtId="3" fontId="10" fillId="2" borderId="54" xfId="178" applyNumberFormat="1" applyFont="1" applyFill="1" applyBorder="1" applyAlignment="1">
      <alignment horizontal="right" vertical="center"/>
    </xf>
    <xf numFmtId="3" fontId="10" fillId="2" borderId="53" xfId="178" applyNumberFormat="1" applyFont="1" applyFill="1" applyBorder="1" applyAlignment="1">
      <alignment horizontal="right" vertical="center"/>
    </xf>
    <xf numFmtId="0" fontId="10" fillId="0" borderId="30" xfId="178" applyFont="1" applyBorder="1" applyAlignment="1">
      <alignment vertical="center" wrapText="1"/>
    </xf>
    <xf numFmtId="0" fontId="59" fillId="0" borderId="30" xfId="178" applyFont="1" applyBorder="1" applyAlignment="1">
      <alignment vertical="center" wrapText="1"/>
    </xf>
    <xf numFmtId="0" fontId="10" fillId="2" borderId="40" xfId="178" quotePrefix="1" applyFont="1" applyFill="1" applyBorder="1" applyAlignment="1">
      <alignment horizontal="left" vertical="center" wrapText="1"/>
    </xf>
    <xf numFmtId="49" fontId="10" fillId="2" borderId="51" xfId="178" quotePrefix="1" applyNumberFormat="1" applyFont="1" applyFill="1" applyBorder="1" applyAlignment="1">
      <alignment horizontal="center" vertical="center" wrapText="1"/>
    </xf>
    <xf numFmtId="3" fontId="61" fillId="0" borderId="40" xfId="179" applyNumberFormat="1" applyFont="1" applyFill="1" applyBorder="1" applyAlignment="1">
      <alignment horizontal="right" vertical="center"/>
    </xf>
    <xf numFmtId="3" fontId="10" fillId="2" borderId="51" xfId="178" applyNumberFormat="1" applyFont="1" applyFill="1" applyBorder="1" applyAlignment="1">
      <alignment horizontal="right" vertical="center"/>
    </xf>
    <xf numFmtId="3" fontId="10" fillId="2" borderId="40" xfId="178" applyNumberFormat="1" applyFont="1" applyFill="1" applyBorder="1" applyAlignment="1">
      <alignment horizontal="right" vertical="center"/>
    </xf>
    <xf numFmtId="10" fontId="15" fillId="0" borderId="51" xfId="177" applyNumberFormat="1" applyFont="1" applyFill="1" applyBorder="1" applyAlignment="1">
      <alignment horizontal="right" vertical="center"/>
    </xf>
    <xf numFmtId="3" fontId="15" fillId="0" borderId="61" xfId="177" applyNumberFormat="1" applyFont="1" applyFill="1" applyBorder="1" applyAlignment="1">
      <alignment horizontal="right" vertical="center"/>
    </xf>
    <xf numFmtId="3" fontId="15" fillId="0" borderId="40" xfId="177" applyNumberFormat="1" applyFont="1" applyFill="1" applyBorder="1" applyAlignment="1">
      <alignment horizontal="right" vertical="center"/>
    </xf>
    <xf numFmtId="10" fontId="13" fillId="0" borderId="51" xfId="177" applyNumberFormat="1" applyFont="1" applyFill="1" applyBorder="1" applyAlignment="1">
      <alignment horizontal="right" vertical="center"/>
    </xf>
    <xf numFmtId="10" fontId="61" fillId="2" borderId="43" xfId="177" applyNumberFormat="1" applyFont="1" applyFill="1" applyBorder="1" applyAlignment="1">
      <alignment horizontal="left" vertical="center"/>
    </xf>
    <xf numFmtId="0" fontId="10" fillId="2" borderId="19" xfId="178" applyFont="1" applyFill="1" applyBorder="1" applyAlignment="1">
      <alignment vertical="center" wrapText="1"/>
    </xf>
    <xf numFmtId="10" fontId="61" fillId="2" borderId="22" xfId="177" applyNumberFormat="1" applyFont="1" applyFill="1" applyBorder="1" applyAlignment="1">
      <alignment horizontal="left" vertical="center"/>
    </xf>
    <xf numFmtId="0" fontId="10" fillId="2" borderId="47" xfId="178" quotePrefix="1" applyFont="1" applyFill="1" applyBorder="1" applyAlignment="1">
      <alignment vertical="center" wrapText="1"/>
    </xf>
    <xf numFmtId="0" fontId="10" fillId="2" borderId="41" xfId="178" applyFont="1" applyFill="1" applyBorder="1" applyAlignment="1">
      <alignment vertical="center" wrapText="1"/>
    </xf>
    <xf numFmtId="0" fontId="10" fillId="2" borderId="41" xfId="178" applyFont="1" applyFill="1" applyBorder="1" applyAlignment="1">
      <alignment horizontal="center" vertical="center" wrapText="1"/>
    </xf>
    <xf numFmtId="3" fontId="10" fillId="2" borderId="41" xfId="178" applyNumberFormat="1" applyFont="1" applyFill="1" applyBorder="1" applyAlignment="1">
      <alignment horizontal="right" vertical="center"/>
    </xf>
    <xf numFmtId="3" fontId="10" fillId="2" borderId="21" xfId="178" applyNumberFormat="1" applyFont="1" applyFill="1" applyBorder="1" applyAlignment="1">
      <alignment horizontal="right" vertical="center"/>
    </xf>
    <xf numFmtId="0" fontId="10" fillId="2" borderId="46" xfId="178" applyFont="1" applyFill="1" applyBorder="1" applyAlignment="1">
      <alignment vertical="center" wrapText="1"/>
    </xf>
    <xf numFmtId="0" fontId="10" fillId="2" borderId="46" xfId="178" applyFont="1" applyFill="1" applyBorder="1" applyAlignment="1">
      <alignment horizontal="center" vertical="center" wrapText="1"/>
    </xf>
    <xf numFmtId="3" fontId="61" fillId="0" borderId="45" xfId="179" applyNumberFormat="1" applyFont="1" applyFill="1" applyBorder="1" applyAlignment="1">
      <alignment horizontal="right" vertical="center"/>
    </xf>
    <xf numFmtId="3" fontId="10" fillId="2" borderId="44" xfId="178" applyNumberFormat="1" applyFont="1" applyFill="1" applyBorder="1" applyAlignment="1">
      <alignment horizontal="right" vertical="center"/>
    </xf>
    <xf numFmtId="3" fontId="10" fillId="2" borderId="45" xfId="178" applyNumberFormat="1" applyFont="1" applyFill="1" applyBorder="1" applyAlignment="1">
      <alignment horizontal="right" vertical="center"/>
    </xf>
    <xf numFmtId="10" fontId="61" fillId="2" borderId="48" xfId="177" applyNumberFormat="1" applyFont="1" applyFill="1" applyBorder="1" applyAlignment="1">
      <alignment horizontal="left" vertical="center"/>
    </xf>
    <xf numFmtId="0" fontId="10" fillId="2" borderId="29" xfId="178" applyFont="1" applyFill="1" applyBorder="1" applyAlignment="1">
      <alignment vertical="center" wrapText="1"/>
    </xf>
    <xf numFmtId="0" fontId="10" fillId="2" borderId="33" xfId="178" applyFont="1" applyFill="1" applyBorder="1" applyAlignment="1">
      <alignment horizontal="center" vertical="center" wrapText="1"/>
    </xf>
    <xf numFmtId="10" fontId="61" fillId="2" borderId="57" xfId="177" applyNumberFormat="1" applyFont="1" applyFill="1" applyBorder="1" applyAlignment="1">
      <alignment horizontal="left" vertical="center"/>
    </xf>
    <xf numFmtId="0" fontId="54" fillId="10" borderId="29" xfId="178" applyFont="1" applyFill="1" applyBorder="1" applyAlignment="1">
      <alignment horizontal="center" vertical="center" wrapText="1"/>
    </xf>
    <xf numFmtId="0" fontId="54" fillId="10" borderId="34" xfId="178" applyFont="1" applyFill="1" applyBorder="1" applyAlignment="1">
      <alignment horizontal="left" vertical="center" wrapText="1"/>
    </xf>
    <xf numFmtId="0" fontId="53" fillId="10" borderId="33" xfId="178" quotePrefix="1" applyFont="1" applyFill="1" applyBorder="1" applyAlignment="1">
      <alignment horizontal="center" vertical="center" wrapText="1"/>
    </xf>
    <xf numFmtId="3" fontId="46" fillId="10" borderId="39" xfId="179" applyNumberFormat="1" applyFont="1" applyFill="1" applyBorder="1" applyAlignment="1">
      <alignment horizontal="right" vertical="center"/>
    </xf>
    <xf numFmtId="3" fontId="53" fillId="0" borderId="41" xfId="178" applyNumberFormat="1" applyFont="1" applyBorder="1" applyAlignment="1">
      <alignment horizontal="right" vertical="center"/>
    </xf>
    <xf numFmtId="3" fontId="53" fillId="0" borderId="42" xfId="178" applyNumberFormat="1" applyFont="1" applyBorder="1" applyAlignment="1">
      <alignment horizontal="right" vertical="center"/>
    </xf>
    <xf numFmtId="0" fontId="53" fillId="11" borderId="30" xfId="178" quotePrefix="1" applyFont="1" applyFill="1" applyBorder="1" applyAlignment="1">
      <alignment horizontal="center" vertical="center" wrapText="1"/>
    </xf>
    <xf numFmtId="3" fontId="51" fillId="11" borderId="39" xfId="179" applyNumberFormat="1" applyFont="1" applyFill="1" applyBorder="1" applyAlignment="1">
      <alignment horizontal="right" vertical="center"/>
    </xf>
    <xf numFmtId="0" fontId="52" fillId="2" borderId="22" xfId="178" applyFont="1" applyFill="1" applyBorder="1" applyAlignment="1">
      <alignment vertical="center" wrapText="1"/>
    </xf>
    <xf numFmtId="0" fontId="53" fillId="11" borderId="44" xfId="178" quotePrefix="1" applyFont="1" applyFill="1" applyBorder="1" applyAlignment="1">
      <alignment horizontal="center" vertical="center" wrapText="1"/>
    </xf>
    <xf numFmtId="3" fontId="50" fillId="11" borderId="39" xfId="179" applyNumberFormat="1" applyFont="1" applyFill="1" applyBorder="1" applyAlignment="1">
      <alignment horizontal="right" vertical="center"/>
    </xf>
    <xf numFmtId="3" fontId="53" fillId="0" borderId="44" xfId="178" applyNumberFormat="1" applyFont="1" applyBorder="1" applyAlignment="1">
      <alignment horizontal="right" vertical="center"/>
    </xf>
    <xf numFmtId="3" fontId="53" fillId="0" borderId="58" xfId="178" applyNumberFormat="1" applyFont="1" applyBorder="1" applyAlignment="1">
      <alignment horizontal="right" vertical="center"/>
    </xf>
    <xf numFmtId="0" fontId="47" fillId="10" borderId="38" xfId="178" applyFont="1" applyFill="1" applyBorder="1" applyAlignment="1">
      <alignment horizontal="center" vertical="center" wrapText="1"/>
    </xf>
    <xf numFmtId="0" fontId="47" fillId="10" borderId="37" xfId="178" applyFont="1" applyFill="1" applyBorder="1" applyAlignment="1">
      <alignment horizontal="left" vertical="center" wrapText="1"/>
    </xf>
    <xf numFmtId="0" fontId="15" fillId="10" borderId="3" xfId="178" quotePrefix="1" applyFont="1" applyFill="1" applyBorder="1" applyAlignment="1">
      <alignment horizontal="center" vertical="center" wrapText="1"/>
    </xf>
    <xf numFmtId="0" fontId="15" fillId="11" borderId="30" xfId="178" quotePrefix="1" applyFont="1" applyFill="1" applyBorder="1" applyAlignment="1">
      <alignment horizontal="center" vertical="center" wrapText="1"/>
    </xf>
    <xf numFmtId="0" fontId="48" fillId="2" borderId="44" xfId="178" applyFont="1" applyFill="1" applyBorder="1" applyAlignment="1">
      <alignment vertical="center" wrapText="1"/>
    </xf>
    <xf numFmtId="0" fontId="15" fillId="0" borderId="47" xfId="178" applyFont="1" applyBorder="1" applyAlignment="1">
      <alignment horizontal="left" vertical="center" wrapText="1"/>
    </xf>
    <xf numFmtId="3" fontId="10" fillId="0" borderId="47" xfId="178" applyNumberFormat="1" applyFont="1" applyBorder="1" applyAlignment="1">
      <alignment horizontal="right" vertical="center"/>
    </xf>
    <xf numFmtId="0" fontId="15" fillId="0" borderId="42" xfId="178" applyFont="1" applyBorder="1" applyAlignment="1">
      <alignment horizontal="left" vertical="center" wrapText="1"/>
    </xf>
    <xf numFmtId="0" fontId="53" fillId="0" borderId="33" xfId="178" applyFont="1" applyBorder="1" applyAlignment="1">
      <alignment vertical="center" wrapText="1"/>
    </xf>
    <xf numFmtId="0" fontId="15" fillId="11" borderId="54" xfId="178" quotePrefix="1" applyFont="1" applyFill="1" applyBorder="1" applyAlignment="1">
      <alignment horizontal="center" vertical="center" wrapText="1"/>
    </xf>
    <xf numFmtId="3" fontId="15" fillId="11" borderId="57" xfId="177" applyNumberFormat="1" applyFont="1" applyFill="1" applyBorder="1" applyAlignment="1">
      <alignment horizontal="right" vertical="center"/>
    </xf>
    <xf numFmtId="3" fontId="48" fillId="11" borderId="53" xfId="177" applyNumberFormat="1" applyFont="1" applyFill="1" applyBorder="1" applyAlignment="1">
      <alignment horizontal="right" vertical="center"/>
    </xf>
    <xf numFmtId="10" fontId="49" fillId="11" borderId="54" xfId="177" applyNumberFormat="1" applyFont="1" applyFill="1" applyBorder="1" applyAlignment="1">
      <alignment horizontal="right" vertical="center"/>
    </xf>
    <xf numFmtId="10" fontId="27" fillId="10" borderId="3" xfId="177" applyNumberFormat="1" applyFont="1" applyFill="1" applyBorder="1" applyAlignment="1">
      <alignment horizontal="right" vertical="center"/>
    </xf>
    <xf numFmtId="0" fontId="15" fillId="11" borderId="51" xfId="178" quotePrefix="1" applyFont="1" applyFill="1" applyBorder="1" applyAlignment="1">
      <alignment horizontal="center" vertical="center" wrapText="1"/>
    </xf>
    <xf numFmtId="3" fontId="13" fillId="11" borderId="51" xfId="178" applyNumberFormat="1" applyFont="1" applyFill="1" applyBorder="1" applyAlignment="1">
      <alignment horizontal="right" vertical="center"/>
    </xf>
    <xf numFmtId="3" fontId="13" fillId="11" borderId="50" xfId="178" applyNumberFormat="1" applyFont="1" applyFill="1" applyBorder="1" applyAlignment="1">
      <alignment horizontal="right" vertical="center"/>
    </xf>
    <xf numFmtId="10" fontId="48" fillId="11" borderId="41" xfId="177" applyNumberFormat="1" applyFont="1" applyFill="1" applyBorder="1" applyAlignment="1">
      <alignment horizontal="right" vertical="center"/>
    </xf>
    <xf numFmtId="0" fontId="53" fillId="0" borderId="21" xfId="178" applyFont="1" applyBorder="1" applyAlignment="1">
      <alignment horizontal="left" vertical="center" wrapText="1"/>
    </xf>
    <xf numFmtId="49" fontId="53" fillId="0" borderId="41" xfId="178" quotePrefix="1" applyNumberFormat="1" applyFont="1" applyBorder="1" applyAlignment="1">
      <alignment horizontal="center" vertical="center" wrapText="1"/>
    </xf>
    <xf numFmtId="0" fontId="53" fillId="0" borderId="19" xfId="178" applyFont="1" applyBorder="1" applyAlignment="1">
      <alignment horizontal="left" vertical="center" wrapText="1"/>
    </xf>
    <xf numFmtId="49" fontId="53" fillId="0" borderId="46" xfId="178" quotePrefix="1" applyNumberFormat="1" applyFont="1" applyBorder="1" applyAlignment="1">
      <alignment horizontal="center" vertical="center" wrapText="1"/>
    </xf>
    <xf numFmtId="0" fontId="53" fillId="0" borderId="0" xfId="178" applyFont="1" applyAlignment="1">
      <alignment horizontal="left" vertical="center" wrapText="1"/>
    </xf>
    <xf numFmtId="0" fontId="53" fillId="2" borderId="39" xfId="178" quotePrefix="1" applyFont="1" applyFill="1" applyBorder="1" applyAlignment="1">
      <alignment horizontal="center" vertical="center" wrapText="1"/>
    </xf>
    <xf numFmtId="3" fontId="62" fillId="0" borderId="39" xfId="179" applyNumberFormat="1" applyFont="1" applyBorder="1"/>
    <xf numFmtId="10" fontId="48" fillId="11" borderId="44" xfId="177" applyNumberFormat="1" applyFont="1" applyFill="1" applyBorder="1" applyAlignment="1">
      <alignment horizontal="right" vertical="center"/>
    </xf>
    <xf numFmtId="3" fontId="48" fillId="11" borderId="48" xfId="177" applyNumberFormat="1" applyFont="1" applyFill="1" applyBorder="1" applyAlignment="1">
      <alignment horizontal="right" vertical="center"/>
    </xf>
    <xf numFmtId="0" fontId="47" fillId="10" borderId="29" xfId="178" applyFont="1" applyFill="1" applyBorder="1" applyAlignment="1">
      <alignment horizontal="center" vertical="center" wrapText="1"/>
    </xf>
    <xf numFmtId="0" fontId="47" fillId="10" borderId="34" xfId="178" applyFont="1" applyFill="1" applyBorder="1" applyAlignment="1">
      <alignment horizontal="left" vertical="center" wrapText="1"/>
    </xf>
    <xf numFmtId="0" fontId="15" fillId="10" borderId="33" xfId="178" quotePrefix="1" applyFont="1" applyFill="1" applyBorder="1" applyAlignment="1">
      <alignment horizontal="center" vertical="center" wrapText="1"/>
    </xf>
    <xf numFmtId="0" fontId="15" fillId="0" borderId="0" xfId="178" applyFont="1" applyAlignment="1">
      <alignment horizontal="left" vertical="center" wrapText="1"/>
    </xf>
    <xf numFmtId="10" fontId="49" fillId="11" borderId="48" xfId="177" applyNumberFormat="1" applyFont="1" applyFill="1" applyBorder="1" applyAlignment="1">
      <alignment horizontal="left" vertical="center"/>
    </xf>
    <xf numFmtId="10" fontId="27" fillId="5" borderId="3" xfId="177" applyNumberFormat="1" applyFont="1" applyFill="1" applyBorder="1" applyAlignment="1">
      <alignment horizontal="right" vertical="center"/>
    </xf>
    <xf numFmtId="0" fontId="27" fillId="0" borderId="30" xfId="178" applyFont="1" applyBorder="1" applyAlignment="1">
      <alignment vertical="center" wrapText="1"/>
    </xf>
    <xf numFmtId="0" fontId="27" fillId="0" borderId="39" xfId="178" applyFont="1" applyBorder="1" applyAlignment="1">
      <alignment vertical="center" wrapText="1"/>
    </xf>
    <xf numFmtId="3" fontId="15" fillId="2" borderId="46" xfId="178" applyNumberFormat="1" applyFont="1" applyFill="1" applyBorder="1" applyAlignment="1">
      <alignment horizontal="right" vertical="center"/>
    </xf>
    <xf numFmtId="3" fontId="15" fillId="2" borderId="47" xfId="178" applyNumberFormat="1" applyFont="1" applyFill="1" applyBorder="1" applyAlignment="1">
      <alignment horizontal="right" vertical="center"/>
    </xf>
    <xf numFmtId="0" fontId="31" fillId="2" borderId="0" xfId="178" applyFill="1"/>
    <xf numFmtId="0" fontId="15" fillId="2" borderId="58" xfId="178" applyFont="1" applyFill="1" applyBorder="1" applyAlignment="1">
      <alignment vertical="center" wrapText="1"/>
    </xf>
    <xf numFmtId="3" fontId="15" fillId="0" borderId="44" xfId="178" applyNumberFormat="1" applyFont="1" applyBorder="1" applyAlignment="1">
      <alignment horizontal="right" vertical="center"/>
    </xf>
    <xf numFmtId="0" fontId="52" fillId="2" borderId="44" xfId="178" applyFont="1" applyFill="1" applyBorder="1" applyAlignment="1">
      <alignment vertical="center" wrapText="1"/>
    </xf>
    <xf numFmtId="10" fontId="51" fillId="0" borderId="57" xfId="177" applyNumberFormat="1" applyFont="1" applyFill="1" applyBorder="1" applyAlignment="1">
      <alignment horizontal="left" vertical="center"/>
    </xf>
    <xf numFmtId="0" fontId="27" fillId="0" borderId="33" xfId="178" applyFont="1" applyBorder="1" applyAlignment="1">
      <alignment vertical="center" wrapText="1"/>
    </xf>
    <xf numFmtId="0" fontId="52" fillId="2" borderId="33" xfId="178" applyFont="1" applyFill="1" applyBorder="1" applyAlignment="1">
      <alignment vertical="center" wrapText="1"/>
    </xf>
    <xf numFmtId="0" fontId="15" fillId="0" borderId="34" xfId="178" applyFont="1" applyBorder="1" applyAlignment="1">
      <alignment horizontal="left" vertical="center" wrapText="1"/>
    </xf>
    <xf numFmtId="49" fontId="15" fillId="2" borderId="33" xfId="178" applyNumberFormat="1" applyFont="1" applyFill="1" applyBorder="1" applyAlignment="1">
      <alignment horizontal="center" vertical="center" wrapText="1"/>
    </xf>
    <xf numFmtId="3" fontId="15" fillId="0" borderId="33" xfId="178" applyNumberFormat="1" applyFont="1" applyBorder="1" applyAlignment="1">
      <alignment horizontal="right" vertical="center"/>
    </xf>
    <xf numFmtId="3" fontId="15" fillId="0" borderId="34" xfId="178" applyNumberFormat="1" applyFont="1" applyBorder="1" applyAlignment="1">
      <alignment horizontal="right" vertical="center"/>
    </xf>
    <xf numFmtId="10" fontId="15" fillId="0" borderId="33" xfId="177" applyNumberFormat="1" applyFont="1" applyFill="1" applyBorder="1" applyAlignment="1">
      <alignment horizontal="right" vertical="center"/>
    </xf>
    <xf numFmtId="3" fontId="15" fillId="0" borderId="35" xfId="177" applyNumberFormat="1" applyFont="1" applyFill="1" applyBorder="1" applyAlignment="1">
      <alignment horizontal="right" vertical="center"/>
    </xf>
    <xf numFmtId="3" fontId="15" fillId="0" borderId="29" xfId="177" applyNumberFormat="1" applyFont="1" applyFill="1" applyBorder="1" applyAlignment="1">
      <alignment horizontal="right" vertical="center"/>
    </xf>
    <xf numFmtId="10" fontId="13" fillId="0" borderId="33" xfId="177" applyNumberFormat="1" applyFont="1" applyFill="1" applyBorder="1" applyAlignment="1">
      <alignment horizontal="right" vertical="center"/>
    </xf>
    <xf numFmtId="10" fontId="13" fillId="0" borderId="36" xfId="177" applyNumberFormat="1" applyFont="1" applyFill="1" applyBorder="1" applyAlignment="1">
      <alignment horizontal="left" vertical="center" wrapText="1"/>
    </xf>
    <xf numFmtId="0" fontId="47" fillId="5" borderId="3" xfId="178" applyFont="1" applyFill="1" applyBorder="1" applyAlignment="1">
      <alignment horizontal="center" vertical="center" wrapText="1"/>
    </xf>
    <xf numFmtId="0" fontId="55" fillId="0" borderId="30" xfId="178" applyFont="1" applyBorder="1" applyAlignment="1">
      <alignment vertical="center" wrapText="1"/>
    </xf>
    <xf numFmtId="0" fontId="47" fillId="10" borderId="3" xfId="178" applyFont="1" applyFill="1" applyBorder="1" applyAlignment="1">
      <alignment horizontal="center" vertical="center" wrapText="1"/>
    </xf>
    <xf numFmtId="0" fontId="55" fillId="0" borderId="39" xfId="178" applyFont="1" applyBorder="1" applyAlignment="1">
      <alignment vertical="center" wrapText="1"/>
    </xf>
    <xf numFmtId="10" fontId="13" fillId="11" borderId="41" xfId="177" applyNumberFormat="1" applyFont="1" applyFill="1" applyBorder="1" applyAlignment="1">
      <alignment horizontal="right" vertical="center"/>
    </xf>
    <xf numFmtId="0" fontId="55" fillId="0" borderId="33" xfId="178" applyFont="1" applyBorder="1" applyAlignment="1">
      <alignment vertical="center" wrapText="1"/>
    </xf>
    <xf numFmtId="3" fontId="49" fillId="11" borderId="55" xfId="178" applyNumberFormat="1" applyFont="1" applyFill="1" applyBorder="1" applyAlignment="1">
      <alignment horizontal="right" vertical="center"/>
    </xf>
    <xf numFmtId="10" fontId="48" fillId="11" borderId="54" xfId="177" applyNumberFormat="1" applyFont="1" applyFill="1" applyBorder="1" applyAlignment="1">
      <alignment horizontal="right" vertical="center"/>
    </xf>
    <xf numFmtId="10" fontId="13" fillId="11" borderId="54" xfId="177" applyNumberFormat="1" applyFont="1" applyFill="1" applyBorder="1" applyAlignment="1">
      <alignment horizontal="right" vertical="center"/>
    </xf>
    <xf numFmtId="0" fontId="48" fillId="0" borderId="46" xfId="178" applyFont="1" applyBorder="1" applyAlignment="1">
      <alignment horizontal="center" vertical="center" wrapText="1"/>
    </xf>
    <xf numFmtId="3" fontId="65" fillId="11" borderId="39" xfId="179" applyNumberFormat="1" applyFont="1" applyFill="1" applyBorder="1"/>
    <xf numFmtId="3" fontId="65" fillId="11" borderId="52" xfId="179" applyNumberFormat="1" applyFont="1" applyFill="1" applyBorder="1"/>
    <xf numFmtId="0" fontId="47" fillId="10" borderId="37" xfId="178" applyFont="1" applyFill="1" applyBorder="1" applyAlignment="1">
      <alignment horizontal="center" vertical="center" wrapText="1"/>
    </xf>
    <xf numFmtId="0" fontId="47" fillId="0" borderId="44" xfId="178" applyFont="1" applyBorder="1" applyAlignment="1">
      <alignment vertical="center" wrapText="1"/>
    </xf>
    <xf numFmtId="0" fontId="47" fillId="0" borderId="39" xfId="178" applyFont="1" applyBorder="1" applyAlignment="1">
      <alignment vertical="center" wrapText="1"/>
    </xf>
    <xf numFmtId="0" fontId="15" fillId="2" borderId="0" xfId="178" applyFont="1" applyFill="1" applyAlignment="1">
      <alignment horizontal="left" vertical="center" wrapText="1"/>
    </xf>
    <xf numFmtId="3" fontId="15" fillId="0" borderId="39" xfId="178" applyNumberFormat="1" applyFont="1" applyBorder="1" applyAlignment="1">
      <alignment horizontal="right" vertical="center"/>
    </xf>
    <xf numFmtId="3" fontId="15" fillId="0" borderId="52" xfId="178" applyNumberFormat="1" applyFont="1" applyBorder="1" applyAlignment="1">
      <alignment horizontal="right" vertical="center"/>
    </xf>
    <xf numFmtId="10" fontId="15" fillId="0" borderId="39" xfId="177" applyNumberFormat="1" applyFont="1" applyFill="1" applyBorder="1" applyAlignment="1">
      <alignment horizontal="right" vertical="center"/>
    </xf>
    <xf numFmtId="3" fontId="15" fillId="0" borderId="49" xfId="177" applyNumberFormat="1" applyFont="1" applyFill="1" applyBorder="1" applyAlignment="1">
      <alignment horizontal="right" vertical="center"/>
    </xf>
    <xf numFmtId="3" fontId="15" fillId="0" borderId="0" xfId="177" applyNumberFormat="1" applyFont="1" applyFill="1" applyBorder="1" applyAlignment="1">
      <alignment horizontal="right" vertical="center"/>
    </xf>
    <xf numFmtId="10" fontId="51" fillId="0" borderId="49" xfId="177" applyNumberFormat="1" applyFont="1" applyFill="1" applyBorder="1" applyAlignment="1">
      <alignment horizontal="left" vertical="center"/>
    </xf>
    <xf numFmtId="0" fontId="45" fillId="0" borderId="0" xfId="178" applyFont="1"/>
    <xf numFmtId="0" fontId="47" fillId="0" borderId="41" xfId="178" applyFont="1" applyBorder="1" applyAlignment="1">
      <alignment vertical="center" wrapText="1"/>
    </xf>
    <xf numFmtId="0" fontId="15" fillId="0" borderId="45" xfId="178" applyFont="1" applyBorder="1" applyAlignment="1">
      <alignment vertical="center" wrapText="1"/>
    </xf>
    <xf numFmtId="49" fontId="48" fillId="11" borderId="54" xfId="178" applyNumberFormat="1" applyFont="1" applyFill="1" applyBorder="1" applyAlignment="1">
      <alignment vertical="center" wrapText="1"/>
    </xf>
    <xf numFmtId="10" fontId="46" fillId="11" borderId="57" xfId="177" applyNumberFormat="1" applyFont="1" applyFill="1" applyBorder="1" applyAlignment="1">
      <alignment horizontal="left" vertical="center"/>
    </xf>
    <xf numFmtId="0" fontId="66" fillId="10" borderId="33" xfId="178" applyFont="1" applyFill="1" applyBorder="1" applyAlignment="1">
      <alignment horizontal="center" vertical="center" wrapText="1"/>
    </xf>
    <xf numFmtId="0" fontId="54" fillId="10" borderId="34" xfId="178" applyFont="1" applyFill="1" applyBorder="1" applyAlignment="1">
      <alignment vertical="center" wrapText="1"/>
    </xf>
    <xf numFmtId="0" fontId="54" fillId="10" borderId="33" xfId="178" applyFont="1" applyFill="1" applyBorder="1" applyAlignment="1">
      <alignment vertical="center" wrapText="1"/>
    </xf>
    <xf numFmtId="3" fontId="46" fillId="10" borderId="33" xfId="178" applyNumberFormat="1" applyFont="1" applyFill="1" applyBorder="1" applyAlignment="1">
      <alignment horizontal="right" vertical="center"/>
    </xf>
    <xf numFmtId="10" fontId="15" fillId="0" borderId="41" xfId="177" applyNumberFormat="1" applyFont="1" applyFill="1" applyBorder="1" applyAlignment="1">
      <alignment horizontal="right" vertical="center"/>
    </xf>
    <xf numFmtId="0" fontId="52" fillId="11" borderId="41" xfId="178" quotePrefix="1" applyFont="1" applyFill="1" applyBorder="1" applyAlignment="1">
      <alignment horizontal="left" vertical="center" wrapText="1"/>
    </xf>
    <xf numFmtId="3" fontId="50" fillId="11" borderId="30" xfId="178" applyNumberFormat="1" applyFont="1" applyFill="1" applyBorder="1" applyAlignment="1">
      <alignment horizontal="right" vertical="center"/>
    </xf>
    <xf numFmtId="0" fontId="66" fillId="0" borderId="49" xfId="178" applyFont="1" applyBorder="1" applyAlignment="1">
      <alignment horizontal="center" vertical="center" wrapText="1"/>
    </xf>
    <xf numFmtId="0" fontId="55" fillId="0" borderId="0" xfId="178" applyFont="1" applyAlignment="1">
      <alignment vertical="center" wrapText="1"/>
    </xf>
    <xf numFmtId="0" fontId="55" fillId="2" borderId="39" xfId="178" applyFont="1" applyFill="1" applyBorder="1" applyAlignment="1">
      <alignment horizontal="center" vertical="center" wrapText="1"/>
    </xf>
    <xf numFmtId="3" fontId="51" fillId="0" borderId="46" xfId="178" applyNumberFormat="1" applyFont="1" applyBorder="1" applyAlignment="1">
      <alignment horizontal="right" vertical="center"/>
    </xf>
    <xf numFmtId="0" fontId="52" fillId="11" borderId="46" xfId="178" quotePrefix="1" applyFont="1" applyFill="1" applyBorder="1" applyAlignment="1">
      <alignment horizontal="center" vertical="center" wrapText="1"/>
    </xf>
    <xf numFmtId="3" fontId="50" fillId="11" borderId="44" xfId="178" applyNumberFormat="1" applyFont="1" applyFill="1" applyBorder="1" applyAlignment="1">
      <alignment horizontal="right" vertical="center"/>
    </xf>
    <xf numFmtId="10" fontId="15" fillId="0" borderId="44" xfId="177" applyNumberFormat="1" applyFont="1" applyFill="1" applyBorder="1" applyAlignment="1">
      <alignment horizontal="right" vertical="center"/>
    </xf>
    <xf numFmtId="3" fontId="15" fillId="0" borderId="45" xfId="177" applyNumberFormat="1" applyFont="1" applyFill="1" applyBorder="1" applyAlignment="1">
      <alignment horizontal="right" vertical="center"/>
    </xf>
    <xf numFmtId="0" fontId="27" fillId="5" borderId="38" xfId="178" applyFont="1" applyFill="1" applyBorder="1" applyAlignment="1">
      <alignment vertical="center" wrapText="1"/>
    </xf>
    <xf numFmtId="0" fontId="27" fillId="5" borderId="3" xfId="178" applyFont="1" applyFill="1" applyBorder="1" applyAlignment="1">
      <alignment horizontal="left" vertical="center" wrapText="1"/>
    </xf>
    <xf numFmtId="10" fontId="45" fillId="5" borderId="36" xfId="177" applyNumberFormat="1" applyFont="1" applyFill="1" applyBorder="1" applyAlignment="1">
      <alignment horizontal="left" vertical="center"/>
    </xf>
    <xf numFmtId="0" fontId="48" fillId="0" borderId="41" xfId="178" applyFont="1" applyBorder="1" applyAlignment="1">
      <alignment horizontal="center" vertical="center" wrapText="1"/>
    </xf>
    <xf numFmtId="49" fontId="48" fillId="11" borderId="54" xfId="178" quotePrefix="1" applyNumberFormat="1" applyFont="1" applyFill="1" applyBorder="1" applyAlignment="1">
      <alignment horizontal="center" vertical="center" wrapText="1"/>
    </xf>
    <xf numFmtId="0" fontId="55" fillId="2" borderId="33" xfId="178" applyFont="1" applyFill="1" applyBorder="1" applyAlignment="1">
      <alignment horizontal="center" vertical="center" wrapText="1"/>
    </xf>
    <xf numFmtId="0" fontId="52" fillId="2" borderId="33" xfId="178" applyFont="1" applyFill="1" applyBorder="1" applyAlignment="1">
      <alignment horizontal="center" vertical="center" wrapText="1"/>
    </xf>
    <xf numFmtId="0" fontId="53" fillId="2" borderId="29" xfId="178" quotePrefix="1" applyFont="1" applyFill="1" applyBorder="1" applyAlignment="1">
      <alignment horizontal="left" vertical="center" wrapText="1"/>
    </xf>
    <xf numFmtId="49" fontId="53" fillId="2" borderId="33" xfId="178" quotePrefix="1" applyNumberFormat="1" applyFont="1" applyFill="1" applyBorder="1" applyAlignment="1">
      <alignment horizontal="center" vertical="center" wrapText="1"/>
    </xf>
    <xf numFmtId="3" fontId="51" fillId="2" borderId="33" xfId="178" applyNumberFormat="1" applyFont="1" applyFill="1" applyBorder="1" applyAlignment="1">
      <alignment horizontal="right" vertical="center"/>
    </xf>
    <xf numFmtId="0" fontId="47" fillId="5" borderId="36" xfId="178" applyFont="1" applyFill="1" applyBorder="1" applyAlignment="1">
      <alignment horizontal="center" vertical="center" wrapText="1"/>
    </xf>
    <xf numFmtId="0" fontId="27" fillId="2" borderId="30" xfId="178" applyFont="1" applyFill="1" applyBorder="1" applyAlignment="1">
      <alignment vertical="center" wrapText="1"/>
    </xf>
    <xf numFmtId="0" fontId="47" fillId="10" borderId="38" xfId="178" applyFont="1" applyFill="1" applyBorder="1" applyAlignment="1">
      <alignment vertical="center" wrapText="1"/>
    </xf>
    <xf numFmtId="0" fontId="27" fillId="2" borderId="39" xfId="178" applyFont="1" applyFill="1" applyBorder="1" applyAlignment="1">
      <alignment vertical="center" wrapText="1"/>
    </xf>
    <xf numFmtId="0" fontId="67" fillId="2" borderId="39" xfId="178" applyFont="1" applyFill="1" applyBorder="1" applyAlignment="1">
      <alignment vertical="center" wrapText="1"/>
    </xf>
    <xf numFmtId="0" fontId="15" fillId="2" borderId="21" xfId="178" applyFont="1" applyFill="1" applyBorder="1" applyAlignment="1">
      <alignment vertical="center" wrapText="1"/>
    </xf>
    <xf numFmtId="3" fontId="13" fillId="2" borderId="46" xfId="178" applyNumberFormat="1" applyFont="1" applyFill="1" applyBorder="1" applyAlignment="1">
      <alignment horizontal="right" vertical="center"/>
    </xf>
    <xf numFmtId="3" fontId="13" fillId="2" borderId="47" xfId="178" applyNumberFormat="1" applyFont="1" applyFill="1" applyBorder="1" applyAlignment="1">
      <alignment horizontal="right" vertical="center"/>
    </xf>
    <xf numFmtId="0" fontId="27" fillId="2" borderId="33" xfId="178" applyFont="1" applyFill="1" applyBorder="1" applyAlignment="1">
      <alignment horizontal="center" vertical="center" wrapText="1"/>
    </xf>
    <xf numFmtId="0" fontId="47" fillId="10" borderId="33" xfId="178" applyFont="1" applyFill="1" applyBorder="1" applyAlignment="1">
      <alignment horizontal="center" vertical="center" wrapText="1"/>
    </xf>
    <xf numFmtId="0" fontId="47" fillId="10" borderId="29" xfId="178" applyFont="1" applyFill="1" applyBorder="1" applyAlignment="1">
      <alignment vertical="center" wrapText="1"/>
    </xf>
    <xf numFmtId="3" fontId="45" fillId="10" borderId="39" xfId="178" applyNumberFormat="1" applyFont="1" applyFill="1" applyBorder="1" applyAlignment="1">
      <alignment horizontal="right" vertical="center"/>
    </xf>
    <xf numFmtId="3" fontId="45" fillId="10" borderId="52" xfId="178" applyNumberFormat="1" applyFont="1" applyFill="1" applyBorder="1" applyAlignment="1">
      <alignment horizontal="right" vertical="center"/>
    </xf>
    <xf numFmtId="10" fontId="45" fillId="0" borderId="43" xfId="177" applyNumberFormat="1" applyFont="1" applyFill="1" applyBorder="1" applyAlignment="1">
      <alignment horizontal="left" vertical="center"/>
    </xf>
    <xf numFmtId="3" fontId="49" fillId="11" borderId="39" xfId="178" applyNumberFormat="1" applyFont="1" applyFill="1" applyBorder="1" applyAlignment="1">
      <alignment horizontal="right" vertical="center"/>
    </xf>
    <xf numFmtId="3" fontId="49" fillId="11" borderId="52" xfId="178" applyNumberFormat="1" applyFont="1" applyFill="1" applyBorder="1" applyAlignment="1">
      <alignment horizontal="right" vertical="center"/>
    </xf>
    <xf numFmtId="10" fontId="45" fillId="0" borderId="48" xfId="177" applyNumberFormat="1" applyFont="1" applyFill="1" applyBorder="1" applyAlignment="1">
      <alignment horizontal="left" vertical="center"/>
    </xf>
    <xf numFmtId="0" fontId="15" fillId="2" borderId="40" xfId="178" applyFont="1" applyFill="1" applyBorder="1" applyAlignment="1">
      <alignment vertical="center" wrapText="1"/>
    </xf>
    <xf numFmtId="49" fontId="15" fillId="2" borderId="51" xfId="178" applyNumberFormat="1" applyFont="1" applyFill="1" applyBorder="1" applyAlignment="1">
      <alignment horizontal="center" vertical="center" wrapText="1"/>
    </xf>
    <xf numFmtId="3" fontId="13" fillId="2" borderId="51" xfId="178" applyNumberFormat="1" applyFont="1" applyFill="1" applyBorder="1" applyAlignment="1">
      <alignment horizontal="right" vertical="center"/>
    </xf>
    <xf numFmtId="3" fontId="15" fillId="0" borderId="51" xfId="178" applyNumberFormat="1" applyFont="1" applyBorder="1" applyAlignment="1">
      <alignment horizontal="right" vertical="center"/>
    </xf>
    <xf numFmtId="3" fontId="15" fillId="0" borderId="50" xfId="178" applyNumberFormat="1" applyFont="1" applyBorder="1" applyAlignment="1">
      <alignment horizontal="right" vertical="center"/>
    </xf>
    <xf numFmtId="3" fontId="13" fillId="2" borderId="50" xfId="178" applyNumberFormat="1" applyFont="1" applyFill="1" applyBorder="1" applyAlignment="1">
      <alignment horizontal="right" vertical="center"/>
    </xf>
    <xf numFmtId="10" fontId="45" fillId="0" borderId="61" xfId="177" applyNumberFormat="1" applyFont="1" applyFill="1" applyBorder="1" applyAlignment="1">
      <alignment horizontal="left" vertical="center"/>
    </xf>
    <xf numFmtId="10" fontId="15" fillId="11" borderId="44" xfId="177" applyNumberFormat="1" applyFont="1" applyFill="1" applyBorder="1" applyAlignment="1">
      <alignment horizontal="right" vertical="center"/>
    </xf>
    <xf numFmtId="3" fontId="15" fillId="11" borderId="45" xfId="177" applyNumberFormat="1" applyFont="1" applyFill="1" applyBorder="1" applyAlignment="1">
      <alignment horizontal="right" vertical="center"/>
    </xf>
    <xf numFmtId="0" fontId="63" fillId="0" borderId="30" xfId="178" applyFont="1" applyBorder="1" applyAlignment="1">
      <alignment vertical="center" wrapText="1"/>
    </xf>
    <xf numFmtId="0" fontId="57" fillId="10" borderId="38" xfId="178" applyFont="1" applyFill="1" applyBorder="1" applyAlignment="1">
      <alignment vertical="center" wrapText="1"/>
    </xf>
    <xf numFmtId="0" fontId="63" fillId="0" borderId="39" xfId="178" applyFont="1" applyBorder="1" applyAlignment="1">
      <alignment vertical="center" wrapText="1"/>
    </xf>
    <xf numFmtId="0" fontId="59" fillId="11" borderId="41" xfId="178" quotePrefix="1" applyFont="1" applyFill="1" applyBorder="1" applyAlignment="1">
      <alignment horizontal="left" vertical="center" wrapText="1"/>
    </xf>
    <xf numFmtId="3" fontId="38" fillId="11" borderId="30" xfId="178" applyNumberFormat="1" applyFont="1" applyFill="1" applyBorder="1" applyAlignment="1">
      <alignment horizontal="right" vertical="center"/>
    </xf>
    <xf numFmtId="3" fontId="38" fillId="11" borderId="31" xfId="178" applyNumberFormat="1" applyFont="1" applyFill="1" applyBorder="1" applyAlignment="1">
      <alignment horizontal="right" vertical="center"/>
    </xf>
    <xf numFmtId="0" fontId="54" fillId="0" borderId="44" xfId="178" applyFont="1" applyBorder="1" applyAlignment="1">
      <alignment vertical="center" wrapText="1"/>
    </xf>
    <xf numFmtId="0" fontId="10" fillId="0" borderId="47" xfId="178" applyFont="1" applyBorder="1" applyAlignment="1">
      <alignment vertical="center" wrapText="1"/>
    </xf>
    <xf numFmtId="3" fontId="61" fillId="0" borderId="46" xfId="179" applyNumberFormat="1" applyFont="1" applyFill="1" applyBorder="1" applyAlignment="1">
      <alignment horizontal="right" vertical="center"/>
    </xf>
    <xf numFmtId="0" fontId="54" fillId="0" borderId="41" xfId="178" applyFont="1" applyBorder="1" applyAlignment="1">
      <alignment vertical="center" wrapText="1"/>
    </xf>
    <xf numFmtId="10" fontId="68" fillId="0" borderId="22" xfId="177" applyNumberFormat="1" applyFont="1" applyFill="1" applyBorder="1" applyAlignment="1">
      <alignment horizontal="left" vertical="center"/>
    </xf>
    <xf numFmtId="0" fontId="59" fillId="11" borderId="54" xfId="178" quotePrefix="1" applyFont="1" applyFill="1" applyBorder="1" applyAlignment="1">
      <alignment horizontal="left" vertical="center" wrapText="1"/>
    </xf>
    <xf numFmtId="3" fontId="38" fillId="11" borderId="54" xfId="178" applyNumberFormat="1" applyFont="1" applyFill="1" applyBorder="1" applyAlignment="1">
      <alignment horizontal="right" vertical="center"/>
    </xf>
    <xf numFmtId="3" fontId="59" fillId="11" borderId="58" xfId="178" applyNumberFormat="1" applyFont="1" applyFill="1" applyBorder="1" applyAlignment="1">
      <alignment horizontal="right" vertical="center"/>
    </xf>
    <xf numFmtId="3" fontId="38" fillId="11" borderId="55" xfId="178" applyNumberFormat="1" applyFont="1" applyFill="1" applyBorder="1" applyAlignment="1">
      <alignment horizontal="right" vertical="center"/>
    </xf>
    <xf numFmtId="10" fontId="38" fillId="11" borderId="48" xfId="177" applyNumberFormat="1" applyFont="1" applyFill="1" applyBorder="1" applyAlignment="1">
      <alignment horizontal="left" vertical="center"/>
    </xf>
    <xf numFmtId="0" fontId="59" fillId="11" borderId="30" xfId="178" quotePrefix="1" applyFont="1" applyFill="1" applyBorder="1" applyAlignment="1">
      <alignment horizontal="left" vertical="center" wrapText="1"/>
    </xf>
    <xf numFmtId="10" fontId="38" fillId="11" borderId="49" xfId="177" applyNumberFormat="1" applyFont="1" applyFill="1" applyBorder="1" applyAlignment="1">
      <alignment horizontal="left" vertical="center"/>
    </xf>
    <xf numFmtId="49" fontId="10" fillId="0" borderId="51" xfId="178" quotePrefix="1" applyNumberFormat="1" applyFont="1" applyBorder="1" applyAlignment="1">
      <alignment horizontal="center" vertical="center" wrapText="1"/>
    </xf>
    <xf numFmtId="3" fontId="61" fillId="0" borderId="51" xfId="179" applyNumberFormat="1" applyFont="1" applyFill="1" applyBorder="1" applyAlignment="1">
      <alignment horizontal="right" vertical="center"/>
    </xf>
    <xf numFmtId="3" fontId="10" fillId="0" borderId="51" xfId="178" applyNumberFormat="1" applyFont="1" applyBorder="1" applyAlignment="1">
      <alignment horizontal="right" vertical="center"/>
    </xf>
    <xf numFmtId="3" fontId="10" fillId="0" borderId="50" xfId="178" applyNumberFormat="1" applyFont="1" applyBorder="1" applyAlignment="1">
      <alignment horizontal="right" vertical="center"/>
    </xf>
    <xf numFmtId="10" fontId="46" fillId="0" borderId="61" xfId="177" applyNumberFormat="1" applyFont="1" applyFill="1" applyBorder="1" applyAlignment="1">
      <alignment horizontal="left" vertical="center"/>
    </xf>
    <xf numFmtId="49" fontId="10" fillId="2" borderId="41" xfId="178" quotePrefix="1" applyNumberFormat="1" applyFont="1" applyFill="1" applyBorder="1" applyAlignment="1">
      <alignment horizontal="center" vertical="center" wrapText="1"/>
    </xf>
    <xf numFmtId="49" fontId="10" fillId="2" borderId="39" xfId="178" applyNumberFormat="1" applyFont="1" applyFill="1" applyBorder="1" applyAlignment="1">
      <alignment horizontal="center" vertical="center" wrapText="1"/>
    </xf>
    <xf numFmtId="3" fontId="61" fillId="0" borderId="44" xfId="179" applyNumberFormat="1" applyFont="1" applyFill="1" applyBorder="1" applyAlignment="1">
      <alignment horizontal="right" vertical="center"/>
    </xf>
    <xf numFmtId="3" fontId="10" fillId="0" borderId="44" xfId="178" applyNumberFormat="1" applyFont="1" applyBorder="1" applyAlignment="1">
      <alignment horizontal="right" vertical="center"/>
    </xf>
    <xf numFmtId="3" fontId="10" fillId="0" borderId="58" xfId="178" applyNumberFormat="1" applyFont="1" applyBorder="1" applyAlignment="1">
      <alignment horizontal="right" vertical="center"/>
    </xf>
    <xf numFmtId="0" fontId="52" fillId="0" borderId="39" xfId="178" applyFont="1" applyBorder="1" applyAlignment="1">
      <alignment horizontal="center" vertical="center" wrapText="1"/>
    </xf>
    <xf numFmtId="3" fontId="61" fillId="0" borderId="41" xfId="179" applyNumberFormat="1" applyFont="1" applyFill="1" applyBorder="1" applyAlignment="1">
      <alignment horizontal="right" vertical="center"/>
    </xf>
    <xf numFmtId="3" fontId="10" fillId="0" borderId="41" xfId="178" applyNumberFormat="1" applyFont="1" applyBorder="1" applyAlignment="1">
      <alignment horizontal="right" vertical="center"/>
    </xf>
    <xf numFmtId="3" fontId="10" fillId="0" borderId="42" xfId="178" applyNumberFormat="1" applyFont="1" applyBorder="1" applyAlignment="1">
      <alignment horizontal="right" vertical="center"/>
    </xf>
    <xf numFmtId="0" fontId="52" fillId="2" borderId="41" xfId="178" applyFont="1" applyFill="1" applyBorder="1" applyAlignment="1">
      <alignment vertical="center" wrapText="1"/>
    </xf>
    <xf numFmtId="0" fontId="15" fillId="0" borderId="46" xfId="178" quotePrefix="1" applyFont="1" applyBorder="1" applyAlignment="1">
      <alignment horizontal="center" vertical="center" wrapText="1"/>
    </xf>
    <xf numFmtId="10" fontId="48" fillId="0" borderId="46" xfId="177" applyNumberFormat="1" applyFont="1" applyFill="1" applyBorder="1" applyAlignment="1">
      <alignment horizontal="right" vertical="center"/>
    </xf>
    <xf numFmtId="3" fontId="49" fillId="0" borderId="22" xfId="178" applyNumberFormat="1" applyFont="1" applyBorder="1" applyAlignment="1">
      <alignment horizontal="right" vertical="center"/>
    </xf>
    <xf numFmtId="10" fontId="49" fillId="0" borderId="22" xfId="177" applyNumberFormat="1" applyFont="1" applyFill="1" applyBorder="1" applyAlignment="1">
      <alignment horizontal="left" vertical="center"/>
    </xf>
    <xf numFmtId="0" fontId="63" fillId="0" borderId="33" xfId="178" applyFont="1" applyBorder="1" applyAlignment="1">
      <alignment vertical="center" wrapText="1"/>
    </xf>
    <xf numFmtId="0" fontId="69" fillId="0" borderId="30" xfId="178" applyFont="1" applyBorder="1" applyAlignment="1">
      <alignment vertical="center" wrapText="1"/>
    </xf>
    <xf numFmtId="0" fontId="69" fillId="0" borderId="39" xfId="178" applyFont="1" applyBorder="1" applyAlignment="1">
      <alignment vertical="center" wrapText="1"/>
    </xf>
    <xf numFmtId="0" fontId="57" fillId="0" borderId="44" xfId="178" applyFont="1" applyBorder="1" applyAlignment="1">
      <alignment vertical="center" wrapText="1"/>
    </xf>
    <xf numFmtId="0" fontId="57" fillId="0" borderId="41" xfId="178" applyFont="1" applyBorder="1" applyAlignment="1">
      <alignment vertical="center" wrapText="1"/>
    </xf>
    <xf numFmtId="0" fontId="10" fillId="0" borderId="0" xfId="178" applyFont="1" applyAlignment="1">
      <alignment vertical="center" wrapText="1"/>
    </xf>
    <xf numFmtId="0" fontId="10" fillId="2" borderId="39" xfId="178" applyFont="1" applyFill="1" applyBorder="1" applyAlignment="1">
      <alignment horizontal="center" vertical="center" wrapText="1"/>
    </xf>
    <xf numFmtId="3" fontId="10" fillId="2" borderId="42" xfId="178" applyNumberFormat="1" applyFont="1" applyFill="1" applyBorder="1" applyAlignment="1">
      <alignment horizontal="right" vertical="center"/>
    </xf>
    <xf numFmtId="10" fontId="61" fillId="0" borderId="43" xfId="177" applyNumberFormat="1" applyFont="1" applyFill="1" applyBorder="1" applyAlignment="1">
      <alignment horizontal="left" vertical="center"/>
    </xf>
    <xf numFmtId="3" fontId="59" fillId="11" borderId="55" xfId="178" applyNumberFormat="1" applyFont="1" applyFill="1" applyBorder="1" applyAlignment="1">
      <alignment horizontal="right" vertical="center"/>
    </xf>
    <xf numFmtId="10" fontId="38" fillId="11" borderId="57" xfId="177" applyNumberFormat="1" applyFont="1" applyFill="1" applyBorder="1" applyAlignment="1">
      <alignment horizontal="left" vertical="center"/>
    </xf>
    <xf numFmtId="0" fontId="57" fillId="10" borderId="3" xfId="178" applyFont="1" applyFill="1" applyBorder="1" applyAlignment="1">
      <alignment horizontal="center" vertical="center" wrapText="1"/>
    </xf>
    <xf numFmtId="0" fontId="57" fillId="10" borderId="38" xfId="178" quotePrefix="1" applyFont="1" applyFill="1" applyBorder="1" applyAlignment="1">
      <alignment horizontal="left" vertical="center" wrapText="1"/>
    </xf>
    <xf numFmtId="0" fontId="59" fillId="10" borderId="3" xfId="178" quotePrefix="1" applyFont="1" applyFill="1" applyBorder="1" applyAlignment="1">
      <alignment horizontal="left" vertical="center" wrapText="1"/>
    </xf>
    <xf numFmtId="4" fontId="58" fillId="10" borderId="31" xfId="178" applyNumberFormat="1" applyFont="1" applyFill="1" applyBorder="1" applyAlignment="1">
      <alignment horizontal="right" vertical="center"/>
    </xf>
    <xf numFmtId="10" fontId="58" fillId="10" borderId="3" xfId="177" applyNumberFormat="1" applyFont="1" applyFill="1" applyBorder="1" applyAlignment="1">
      <alignment horizontal="right" vertical="center"/>
    </xf>
    <xf numFmtId="0" fontId="31" fillId="10" borderId="36" xfId="178" applyFill="1" applyBorder="1"/>
    <xf numFmtId="4" fontId="38" fillId="11" borderId="50" xfId="178" applyNumberFormat="1" applyFont="1" applyFill="1" applyBorder="1" applyAlignment="1">
      <alignment horizontal="right" vertical="center"/>
    </xf>
    <xf numFmtId="10" fontId="38" fillId="11" borderId="41" xfId="177" applyNumberFormat="1" applyFont="1" applyFill="1" applyBorder="1" applyAlignment="1">
      <alignment horizontal="right" vertical="center"/>
    </xf>
    <xf numFmtId="0" fontId="31" fillId="11" borderId="61" xfId="178" applyFill="1" applyBorder="1"/>
    <xf numFmtId="0" fontId="10" fillId="2" borderId="42" xfId="178" quotePrefix="1" applyFont="1" applyFill="1" applyBorder="1" applyAlignment="1">
      <alignment horizontal="left" vertical="center" wrapText="1"/>
    </xf>
    <xf numFmtId="4" fontId="10" fillId="0" borderId="47" xfId="178" applyNumberFormat="1" applyFont="1" applyBorder="1" applyAlignment="1">
      <alignment horizontal="right" vertical="center"/>
    </xf>
    <xf numFmtId="10" fontId="61" fillId="0" borderId="46" xfId="177" applyNumberFormat="1" applyFont="1" applyFill="1" applyBorder="1" applyAlignment="1">
      <alignment horizontal="right" vertical="center"/>
    </xf>
    <xf numFmtId="3" fontId="61" fillId="0" borderId="46" xfId="177" applyNumberFormat="1" applyFont="1" applyFill="1" applyBorder="1" applyAlignment="1">
      <alignment horizontal="right" vertical="center"/>
    </xf>
    <xf numFmtId="0" fontId="31" fillId="0" borderId="22" xfId="178" applyBorder="1"/>
    <xf numFmtId="3" fontId="61" fillId="0" borderId="41" xfId="177" applyNumberFormat="1" applyFont="1" applyFill="1" applyBorder="1" applyAlignment="1">
      <alignment horizontal="right" vertical="center"/>
    </xf>
    <xf numFmtId="0" fontId="31" fillId="0" borderId="43" xfId="178" applyBorder="1"/>
    <xf numFmtId="4" fontId="59" fillId="11" borderId="55" xfId="178" applyNumberFormat="1" applyFont="1" applyFill="1" applyBorder="1" applyAlignment="1">
      <alignment horizontal="right" vertical="center"/>
    </xf>
    <xf numFmtId="10" fontId="38" fillId="11" borderId="54" xfId="177" applyNumberFormat="1" applyFont="1" applyFill="1" applyBorder="1" applyAlignment="1">
      <alignment horizontal="right" vertical="center"/>
    </xf>
    <xf numFmtId="0" fontId="31" fillId="11" borderId="35" xfId="178" applyFill="1" applyBorder="1"/>
    <xf numFmtId="0" fontId="47" fillId="10" borderId="34" xfId="178" quotePrefix="1" applyFont="1" applyFill="1" applyBorder="1" applyAlignment="1">
      <alignment horizontal="left" vertical="center" wrapText="1"/>
    </xf>
    <xf numFmtId="0" fontId="48" fillId="10" borderId="33" xfId="178" quotePrefix="1" applyFont="1" applyFill="1" applyBorder="1" applyAlignment="1">
      <alignment horizontal="left" vertical="center" wrapText="1"/>
    </xf>
    <xf numFmtId="10" fontId="27" fillId="10" borderId="33" xfId="177" applyNumberFormat="1" applyFont="1" applyFill="1" applyBorder="1" applyAlignment="1">
      <alignment horizontal="right" vertical="center"/>
    </xf>
    <xf numFmtId="0" fontId="47" fillId="2" borderId="44" xfId="178" applyFont="1" applyFill="1" applyBorder="1" applyAlignment="1">
      <alignment horizontal="center" vertical="center" wrapText="1"/>
    </xf>
    <xf numFmtId="0" fontId="15" fillId="2" borderId="46" xfId="9" quotePrefix="1" applyFont="1" applyFill="1" applyBorder="1" applyAlignment="1">
      <alignment horizontal="left" vertical="center" wrapText="1"/>
    </xf>
    <xf numFmtId="0" fontId="15" fillId="2" borderId="44" xfId="178" quotePrefix="1" applyFont="1" applyFill="1" applyBorder="1" applyAlignment="1">
      <alignment horizontal="center" vertical="center" wrapText="1"/>
    </xf>
    <xf numFmtId="0" fontId="57" fillId="10" borderId="33" xfId="178" applyFont="1" applyFill="1" applyBorder="1" applyAlignment="1">
      <alignment horizontal="center" vertical="center" wrapText="1"/>
    </xf>
    <xf numFmtId="0" fontId="57" fillId="10" borderId="34" xfId="178" quotePrefix="1" applyFont="1" applyFill="1" applyBorder="1" applyAlignment="1">
      <alignment horizontal="left" vertical="center" wrapText="1"/>
    </xf>
    <xf numFmtId="0" fontId="59" fillId="10" borderId="33" xfId="178" quotePrefix="1" applyFont="1" applyFill="1" applyBorder="1" applyAlignment="1">
      <alignment horizontal="left" vertical="center" wrapText="1"/>
    </xf>
    <xf numFmtId="3" fontId="58" fillId="10" borderId="33" xfId="178" applyNumberFormat="1" applyFont="1" applyFill="1" applyBorder="1" applyAlignment="1">
      <alignment horizontal="right" vertical="center"/>
    </xf>
    <xf numFmtId="3" fontId="58" fillId="10" borderId="34" xfId="178" applyNumberFormat="1" applyFont="1" applyFill="1" applyBorder="1" applyAlignment="1">
      <alignment horizontal="right" vertical="center"/>
    </xf>
    <xf numFmtId="0" fontId="57" fillId="2" borderId="44" xfId="178" applyFont="1" applyFill="1" applyBorder="1" applyAlignment="1">
      <alignment horizontal="center" vertical="center" wrapText="1"/>
    </xf>
    <xf numFmtId="0" fontId="10" fillId="0" borderId="0" xfId="178" quotePrefix="1" applyFont="1" applyAlignment="1">
      <alignment horizontal="left" vertical="center" wrapText="1"/>
    </xf>
    <xf numFmtId="0" fontId="10" fillId="2" borderId="44" xfId="178" quotePrefix="1" applyFont="1" applyFill="1" applyBorder="1" applyAlignment="1">
      <alignment horizontal="center" vertical="center" wrapText="1"/>
    </xf>
    <xf numFmtId="0" fontId="54" fillId="10" borderId="3" xfId="178" applyFont="1" applyFill="1" applyBorder="1" applyAlignment="1">
      <alignment vertical="center" wrapText="1"/>
    </xf>
    <xf numFmtId="0" fontId="52" fillId="11" borderId="51" xfId="178" quotePrefix="1" applyFont="1" applyFill="1" applyBorder="1" applyAlignment="1">
      <alignment horizontal="left" vertical="center" wrapText="1"/>
    </xf>
    <xf numFmtId="0" fontId="15" fillId="2" borderId="19" xfId="178" quotePrefix="1" applyFont="1" applyFill="1" applyBorder="1" applyAlignment="1">
      <alignment horizontal="left" vertical="center" wrapText="1"/>
    </xf>
    <xf numFmtId="49" fontId="53" fillId="2" borderId="46" xfId="178" quotePrefix="1" applyNumberFormat="1" applyFont="1" applyFill="1" applyBorder="1" applyAlignment="1">
      <alignment horizontal="center" vertical="center" wrapText="1"/>
    </xf>
    <xf numFmtId="0" fontId="15" fillId="2" borderId="47" xfId="178" quotePrefix="1" applyFont="1" applyFill="1" applyBorder="1" applyAlignment="1">
      <alignment horizontal="left" vertical="center" wrapText="1"/>
    </xf>
    <xf numFmtId="0" fontId="15" fillId="2" borderId="47" xfId="178" applyFont="1" applyFill="1" applyBorder="1" applyAlignment="1">
      <alignment vertical="center" wrapText="1"/>
    </xf>
    <xf numFmtId="0" fontId="15" fillId="2" borderId="42" xfId="178" applyFont="1" applyFill="1" applyBorder="1" applyAlignment="1">
      <alignment vertical="center" wrapText="1"/>
    </xf>
    <xf numFmtId="0" fontId="15" fillId="2" borderId="42" xfId="178" quotePrefix="1" applyFont="1" applyFill="1" applyBorder="1" applyAlignment="1">
      <alignment horizontal="left" vertical="center" wrapText="1"/>
    </xf>
    <xf numFmtId="0" fontId="15" fillId="2" borderId="34" xfId="178" quotePrefix="1" applyFont="1" applyFill="1" applyBorder="1" applyAlignment="1">
      <alignment horizontal="left" vertical="center" wrapText="1"/>
    </xf>
    <xf numFmtId="10" fontId="51" fillId="0" borderId="35" xfId="177" applyNumberFormat="1" applyFont="1" applyFill="1" applyBorder="1" applyAlignment="1">
      <alignment horizontal="left" vertical="center"/>
    </xf>
    <xf numFmtId="0" fontId="48" fillId="0" borderId="30" xfId="178" applyFont="1" applyBorder="1" applyAlignment="1">
      <alignment vertical="center" wrapText="1"/>
    </xf>
    <xf numFmtId="0" fontId="15" fillId="2" borderId="50" xfId="178" quotePrefix="1" applyFont="1" applyFill="1" applyBorder="1" applyAlignment="1">
      <alignment horizontal="left" vertical="center" wrapText="1"/>
    </xf>
    <xf numFmtId="3" fontId="13" fillId="0" borderId="51" xfId="179" applyNumberFormat="1" applyFont="1" applyFill="1" applyBorder="1" applyAlignment="1">
      <alignment horizontal="right" vertical="center"/>
    </xf>
    <xf numFmtId="10" fontId="51" fillId="0" borderId="61" xfId="177" applyNumberFormat="1" applyFont="1" applyFill="1" applyBorder="1" applyAlignment="1">
      <alignment horizontal="left" vertical="center"/>
    </xf>
    <xf numFmtId="0" fontId="15" fillId="2" borderId="58" xfId="178" quotePrefix="1" applyFont="1" applyFill="1" applyBorder="1" applyAlignment="1">
      <alignment horizontal="left" vertical="center" wrapText="1"/>
    </xf>
    <xf numFmtId="0" fontId="15" fillId="2" borderId="58" xfId="178" quotePrefix="1" applyFont="1" applyFill="1" applyBorder="1" applyAlignment="1">
      <alignment vertical="center" wrapText="1"/>
    </xf>
    <xf numFmtId="0" fontId="15" fillId="2" borderId="47" xfId="178" quotePrefix="1" applyFont="1" applyFill="1" applyBorder="1" applyAlignment="1">
      <alignment vertical="center" wrapText="1"/>
    </xf>
    <xf numFmtId="0" fontId="15" fillId="2" borderId="19" xfId="178" quotePrefix="1" applyFont="1" applyFill="1" applyBorder="1" applyAlignment="1">
      <alignment vertical="center" wrapText="1"/>
    </xf>
    <xf numFmtId="0" fontId="48" fillId="2" borderId="39" xfId="178" applyFont="1" applyFill="1" applyBorder="1" applyAlignment="1">
      <alignment vertical="center" wrapText="1"/>
    </xf>
    <xf numFmtId="0" fontId="15" fillId="2" borderId="21" xfId="178" quotePrefix="1" applyFont="1" applyFill="1" applyBorder="1" applyAlignment="1">
      <alignment vertical="center" wrapText="1"/>
    </xf>
    <xf numFmtId="0" fontId="48" fillId="2" borderId="41" xfId="178" applyFont="1" applyFill="1" applyBorder="1" applyAlignment="1">
      <alignment vertical="center" wrapText="1"/>
    </xf>
    <xf numFmtId="0" fontId="15" fillId="2" borderId="0" xfId="178" quotePrefix="1" applyFont="1" applyFill="1" applyAlignment="1">
      <alignment horizontal="left" vertical="center" wrapText="1"/>
    </xf>
    <xf numFmtId="0" fontId="15" fillId="0" borderId="39" xfId="178" quotePrefix="1" applyFont="1" applyBorder="1" applyAlignment="1">
      <alignment horizontal="center" vertical="center" wrapText="1"/>
    </xf>
    <xf numFmtId="0" fontId="15" fillId="2" borderId="46" xfId="178" quotePrefix="1" applyFont="1" applyFill="1" applyBorder="1" applyAlignment="1">
      <alignment horizontal="left" vertical="center" wrapText="1"/>
    </xf>
    <xf numFmtId="0" fontId="15" fillId="0" borderId="41" xfId="178" quotePrefix="1" applyFont="1" applyBorder="1" applyAlignment="1">
      <alignment horizontal="center" vertical="center" wrapText="1"/>
    </xf>
    <xf numFmtId="0" fontId="48" fillId="2" borderId="33" xfId="178" applyFont="1" applyFill="1" applyBorder="1" applyAlignment="1">
      <alignment vertical="center" wrapText="1"/>
    </xf>
    <xf numFmtId="0" fontId="15" fillId="2" borderId="55" xfId="178" quotePrefix="1" applyFont="1" applyFill="1" applyBorder="1" applyAlignment="1">
      <alignment vertical="center" wrapText="1"/>
    </xf>
    <xf numFmtId="0" fontId="15" fillId="0" borderId="54" xfId="178" quotePrefix="1" applyFont="1" applyBorder="1" applyAlignment="1">
      <alignment horizontal="center" vertical="center" wrapText="1"/>
    </xf>
    <xf numFmtId="3" fontId="15" fillId="0" borderId="54" xfId="178" applyNumberFormat="1" applyFont="1" applyBorder="1" applyAlignment="1">
      <alignment horizontal="right" vertical="center"/>
    </xf>
    <xf numFmtId="0" fontId="53" fillId="2" borderId="34" xfId="178" quotePrefix="1" applyFont="1" applyFill="1" applyBorder="1" applyAlignment="1">
      <alignment vertical="center" wrapText="1"/>
    </xf>
    <xf numFmtId="0" fontId="53" fillId="2" borderId="33" xfId="178" quotePrefix="1" applyFont="1" applyFill="1" applyBorder="1" applyAlignment="1">
      <alignment horizontal="center" vertical="center" wrapText="1"/>
    </xf>
    <xf numFmtId="10" fontId="13" fillId="0" borderId="39" xfId="177" applyNumberFormat="1" applyFont="1" applyFill="1" applyBorder="1" applyAlignment="1">
      <alignment horizontal="right" vertical="center"/>
    </xf>
    <xf numFmtId="0" fontId="40" fillId="5" borderId="3" xfId="9" applyFont="1" applyFill="1" applyBorder="1" applyAlignment="1">
      <alignment horizontal="center" vertical="center" wrapText="1"/>
    </xf>
    <xf numFmtId="0" fontId="40" fillId="5" borderId="36" xfId="9" applyFont="1" applyFill="1" applyBorder="1" applyAlignment="1">
      <alignment horizontal="center" vertical="center" wrapText="1"/>
    </xf>
    <xf numFmtId="0" fontId="40" fillId="5" borderId="37" xfId="9" applyFont="1" applyFill="1" applyBorder="1" applyAlignment="1">
      <alignment vertical="center" wrapText="1"/>
    </xf>
    <xf numFmtId="0" fontId="40" fillId="5" borderId="3" xfId="9" applyFont="1" applyFill="1" applyBorder="1" applyAlignment="1">
      <alignment vertical="center" wrapText="1"/>
    </xf>
    <xf numFmtId="3" fontId="58" fillId="5" borderId="30" xfId="178" applyNumberFormat="1" applyFont="1" applyFill="1" applyBorder="1" applyAlignment="1">
      <alignment horizontal="right" vertical="center"/>
    </xf>
    <xf numFmtId="3" fontId="58" fillId="5" borderId="31" xfId="178" applyNumberFormat="1" applyFont="1" applyFill="1" applyBorder="1" applyAlignment="1">
      <alignment horizontal="right" vertical="center"/>
    </xf>
    <xf numFmtId="10" fontId="58" fillId="5" borderId="32" xfId="177" applyNumberFormat="1" applyFont="1" applyFill="1" applyBorder="1" applyAlignment="1">
      <alignment horizontal="left" vertical="center"/>
    </xf>
    <xf numFmtId="0" fontId="10" fillId="2" borderId="30" xfId="9" applyFont="1" applyFill="1" applyBorder="1" applyAlignment="1">
      <alignment vertical="center" wrapText="1"/>
    </xf>
    <xf numFmtId="0" fontId="57" fillId="10" borderId="36" xfId="9" applyFont="1" applyFill="1" applyBorder="1" applyAlignment="1">
      <alignment horizontal="center" vertical="center" wrapText="1"/>
    </xf>
    <xf numFmtId="0" fontId="57" fillId="10" borderId="37" xfId="9" applyFont="1" applyFill="1" applyBorder="1" applyAlignment="1">
      <alignment vertical="center" wrapText="1"/>
    </xf>
    <xf numFmtId="0" fontId="57" fillId="10" borderId="3" xfId="9" applyFont="1" applyFill="1" applyBorder="1" applyAlignment="1">
      <alignment vertical="center" wrapText="1"/>
    </xf>
    <xf numFmtId="0" fontId="10" fillId="2" borderId="39" xfId="9" applyFont="1" applyFill="1" applyBorder="1" applyAlignment="1">
      <alignment vertical="center" wrapText="1"/>
    </xf>
    <xf numFmtId="0" fontId="59" fillId="11" borderId="41" xfId="9" applyFont="1" applyFill="1" applyBorder="1" applyAlignment="1">
      <alignment horizontal="left" vertical="center" wrapText="1"/>
    </xf>
    <xf numFmtId="0" fontId="57" fillId="2" borderId="22" xfId="9" applyFont="1" applyFill="1" applyBorder="1" applyAlignment="1">
      <alignment horizontal="center" vertical="center" wrapText="1"/>
    </xf>
    <xf numFmtId="0" fontId="10" fillId="2" borderId="46" xfId="9" applyFont="1" applyFill="1" applyBorder="1" applyAlignment="1">
      <alignment horizontal="center" vertical="center" wrapText="1"/>
    </xf>
    <xf numFmtId="0" fontId="10" fillId="2" borderId="33" xfId="9" applyFont="1" applyFill="1" applyBorder="1" applyAlignment="1">
      <alignment vertical="center" wrapText="1"/>
    </xf>
    <xf numFmtId="0" fontId="59" fillId="11" borderId="54" xfId="9" applyFont="1" applyFill="1" applyBorder="1" applyAlignment="1">
      <alignment horizontal="left" vertical="center" wrapText="1"/>
    </xf>
    <xf numFmtId="3" fontId="38" fillId="11" borderId="33" xfId="178" applyNumberFormat="1" applyFont="1" applyFill="1" applyBorder="1" applyAlignment="1">
      <alignment horizontal="right" vertical="center"/>
    </xf>
    <xf numFmtId="3" fontId="38" fillId="11" borderId="34" xfId="178" applyNumberFormat="1" applyFont="1" applyFill="1" applyBorder="1" applyAlignment="1">
      <alignment horizontal="right" vertical="center"/>
    </xf>
    <xf numFmtId="0" fontId="69" fillId="5" borderId="3" xfId="9" applyFont="1" applyFill="1" applyBorder="1" applyAlignment="1">
      <alignment horizontal="center" vertical="center" wrapText="1"/>
    </xf>
    <xf numFmtId="0" fontId="69" fillId="5" borderId="36" xfId="9" applyFont="1" applyFill="1" applyBorder="1" applyAlignment="1">
      <alignment horizontal="center" vertical="center" wrapText="1"/>
    </xf>
    <xf numFmtId="0" fontId="70" fillId="5" borderId="37" xfId="9" applyFont="1" applyFill="1" applyBorder="1" applyAlignment="1">
      <alignment vertical="center" wrapText="1"/>
    </xf>
    <xf numFmtId="0" fontId="69" fillId="5" borderId="3" xfId="9" applyFont="1" applyFill="1" applyBorder="1" applyAlignment="1">
      <alignment vertical="center" wrapText="1"/>
    </xf>
    <xf numFmtId="3" fontId="58" fillId="5" borderId="3" xfId="179" applyNumberFormat="1" applyFont="1" applyFill="1" applyBorder="1" applyAlignment="1">
      <alignment horizontal="right" vertical="center"/>
    </xf>
    <xf numFmtId="3" fontId="40" fillId="5" borderId="3" xfId="178" applyNumberFormat="1" applyFont="1" applyFill="1" applyBorder="1" applyAlignment="1">
      <alignment horizontal="right" vertical="center"/>
    </xf>
    <xf numFmtId="3" fontId="40" fillId="5" borderId="37" xfId="178" applyNumberFormat="1" applyFont="1" applyFill="1" applyBorder="1" applyAlignment="1">
      <alignment horizontal="right" vertical="center"/>
    </xf>
    <xf numFmtId="10" fontId="58" fillId="5" borderId="36" xfId="177" applyNumberFormat="1" applyFont="1" applyFill="1" applyBorder="1" applyAlignment="1">
      <alignment horizontal="left" vertical="center"/>
    </xf>
    <xf numFmtId="0" fontId="37" fillId="2" borderId="30" xfId="9" applyFont="1" applyFill="1" applyBorder="1" applyAlignment="1">
      <alignment vertical="center" wrapText="1"/>
    </xf>
    <xf numFmtId="0" fontId="71" fillId="10" borderId="36" xfId="9" applyFont="1" applyFill="1" applyBorder="1" applyAlignment="1">
      <alignment horizontal="center" vertical="center" wrapText="1"/>
    </xf>
    <xf numFmtId="0" fontId="71" fillId="10" borderId="37" xfId="9" applyFont="1" applyFill="1" applyBorder="1" applyAlignment="1">
      <alignment vertical="center" wrapText="1"/>
    </xf>
    <xf numFmtId="0" fontId="71" fillId="10" borderId="3" xfId="9" applyFont="1" applyFill="1" applyBorder="1" applyAlignment="1">
      <alignment vertical="center" wrapText="1"/>
    </xf>
    <xf numFmtId="3" fontId="58" fillId="10" borderId="3" xfId="179" applyNumberFormat="1" applyFont="1" applyFill="1" applyBorder="1" applyAlignment="1">
      <alignment horizontal="right" vertical="center"/>
    </xf>
    <xf numFmtId="3" fontId="58" fillId="10" borderId="37" xfId="179" applyNumberFormat="1" applyFont="1" applyFill="1" applyBorder="1" applyAlignment="1">
      <alignment horizontal="right" vertical="center"/>
    </xf>
    <xf numFmtId="0" fontId="37" fillId="2" borderId="39" xfId="9" applyFont="1" applyFill="1" applyBorder="1" applyAlignment="1">
      <alignment vertical="center" wrapText="1"/>
    </xf>
    <xf numFmtId="0" fontId="59" fillId="11" borderId="51" xfId="9" applyFont="1" applyFill="1" applyBorder="1" applyAlignment="1">
      <alignment horizontal="left" vertical="center" wrapText="1"/>
    </xf>
    <xf numFmtId="3" fontId="38" fillId="11" borderId="41" xfId="179" applyNumberFormat="1" applyFont="1" applyFill="1" applyBorder="1" applyAlignment="1">
      <alignment horizontal="right" vertical="center"/>
    </xf>
    <xf numFmtId="3" fontId="38" fillId="11" borderId="42" xfId="179" applyNumberFormat="1" applyFont="1" applyFill="1" applyBorder="1" applyAlignment="1">
      <alignment horizontal="right" vertical="center"/>
    </xf>
    <xf numFmtId="0" fontId="55" fillId="2" borderId="39" xfId="9" applyFont="1" applyFill="1" applyBorder="1" applyAlignment="1">
      <alignment vertical="center" wrapText="1"/>
    </xf>
    <xf numFmtId="0" fontId="10" fillId="2" borderId="19" xfId="9" quotePrefix="1" applyFont="1" applyFill="1" applyBorder="1" applyAlignment="1">
      <alignment horizontal="left" vertical="center" wrapText="1"/>
    </xf>
    <xf numFmtId="0" fontId="10" fillId="0" borderId="41" xfId="9" applyFont="1" applyBorder="1" applyAlignment="1">
      <alignment horizontal="center" vertical="center" wrapText="1"/>
    </xf>
    <xf numFmtId="0" fontId="10" fillId="0" borderId="19" xfId="9" applyFont="1" applyBorder="1" applyAlignment="1">
      <alignment vertical="center" wrapText="1"/>
    </xf>
    <xf numFmtId="0" fontId="55" fillId="2" borderId="33" xfId="9" applyFont="1" applyFill="1" applyBorder="1" applyAlignment="1">
      <alignment vertical="center" wrapText="1"/>
    </xf>
    <xf numFmtId="3" fontId="61" fillId="11" borderId="54" xfId="179" applyNumberFormat="1" applyFont="1" applyFill="1" applyBorder="1" applyAlignment="1">
      <alignment horizontal="right" vertical="center"/>
    </xf>
    <xf numFmtId="3" fontId="61" fillId="11" borderId="55" xfId="179" applyNumberFormat="1" applyFont="1" applyFill="1" applyBorder="1" applyAlignment="1">
      <alignment horizontal="right" vertical="center"/>
    </xf>
    <xf numFmtId="0" fontId="54" fillId="5" borderId="3" xfId="178" applyFont="1" applyFill="1" applyBorder="1" applyAlignment="1">
      <alignment horizontal="center" vertical="center" wrapText="1"/>
    </xf>
    <xf numFmtId="0" fontId="73" fillId="5" borderId="37" xfId="178" applyFont="1" applyFill="1" applyBorder="1" applyAlignment="1">
      <alignment vertical="center" wrapText="1"/>
    </xf>
    <xf numFmtId="10" fontId="46" fillId="5" borderId="36" xfId="177" applyNumberFormat="1" applyFont="1" applyFill="1" applyBorder="1" applyAlignment="1">
      <alignment horizontal="left" vertical="center"/>
    </xf>
    <xf numFmtId="0" fontId="59" fillId="11" borderId="51" xfId="178" applyFont="1" applyFill="1" applyBorder="1" applyAlignment="1">
      <alignment horizontal="left" vertical="center" wrapText="1"/>
    </xf>
    <xf numFmtId="0" fontId="10" fillId="0" borderId="19" xfId="178" applyFont="1" applyBorder="1" applyAlignment="1">
      <alignment horizontal="left" vertical="center" wrapText="1"/>
    </xf>
    <xf numFmtId="0" fontId="10" fillId="0" borderId="21" xfId="178" applyFont="1" applyBorder="1" applyAlignment="1">
      <alignment vertical="center" wrapText="1"/>
    </xf>
    <xf numFmtId="0" fontId="10" fillId="0" borderId="42" xfId="178" applyFont="1" applyBorder="1" applyAlignment="1">
      <alignment vertical="center" wrapText="1"/>
    </xf>
    <xf numFmtId="0" fontId="59" fillId="11" borderId="33" xfId="178" quotePrefix="1" applyFont="1" applyFill="1" applyBorder="1" applyAlignment="1">
      <alignment horizontal="left" vertical="center" wrapText="1"/>
    </xf>
    <xf numFmtId="3" fontId="38" fillId="11" borderId="39" xfId="178" applyNumberFormat="1" applyFont="1" applyFill="1" applyBorder="1" applyAlignment="1">
      <alignment horizontal="right" vertical="center"/>
    </xf>
    <xf numFmtId="0" fontId="57" fillId="10" borderId="34" xfId="178" applyFont="1" applyFill="1" applyBorder="1" applyAlignment="1">
      <alignment vertical="center" wrapText="1"/>
    </xf>
    <xf numFmtId="0" fontId="57" fillId="10" borderId="33" xfId="178" applyFont="1" applyFill="1" applyBorder="1" applyAlignment="1">
      <alignment vertical="center" wrapText="1"/>
    </xf>
    <xf numFmtId="3" fontId="58" fillId="10" borderId="3" xfId="178" applyNumberFormat="1" applyFont="1" applyFill="1" applyBorder="1" applyAlignment="1">
      <alignment horizontal="right" vertical="center"/>
    </xf>
    <xf numFmtId="3" fontId="58" fillId="10" borderId="37" xfId="178" applyNumberFormat="1" applyFont="1" applyFill="1" applyBorder="1" applyAlignment="1">
      <alignment horizontal="right" vertical="center"/>
    </xf>
    <xf numFmtId="0" fontId="59" fillId="11" borderId="41" xfId="178" applyFont="1" applyFill="1" applyBorder="1" applyAlignment="1">
      <alignment horizontal="left" vertical="center" wrapText="1"/>
    </xf>
    <xf numFmtId="0" fontId="27" fillId="5" borderId="3" xfId="9" applyFont="1" applyFill="1" applyBorder="1" applyAlignment="1">
      <alignment horizontal="center" vertical="center" wrapText="1"/>
    </xf>
    <xf numFmtId="0" fontId="27" fillId="5" borderId="36" xfId="9" applyFont="1" applyFill="1" applyBorder="1" applyAlignment="1">
      <alignment horizontal="center" vertical="center" wrapText="1"/>
    </xf>
    <xf numFmtId="0" fontId="27" fillId="5" borderId="37" xfId="9" applyFont="1" applyFill="1" applyBorder="1" applyAlignment="1">
      <alignment vertical="center" wrapText="1"/>
    </xf>
    <xf numFmtId="0" fontId="27" fillId="5" borderId="3" xfId="9" applyFont="1" applyFill="1" applyBorder="1" applyAlignment="1">
      <alignment vertical="center" wrapText="1"/>
    </xf>
    <xf numFmtId="0" fontId="53" fillId="2" borderId="30" xfId="9" applyFont="1" applyFill="1" applyBorder="1" applyAlignment="1">
      <alignment vertical="center" wrapText="1"/>
    </xf>
    <xf numFmtId="0" fontId="54" fillId="10" borderId="3" xfId="9" applyFont="1" applyFill="1" applyBorder="1" applyAlignment="1">
      <alignment vertical="center" wrapText="1"/>
    </xf>
    <xf numFmtId="0" fontId="53" fillId="2" borderId="39" xfId="9" applyFont="1" applyFill="1" applyBorder="1" applyAlignment="1">
      <alignment vertical="center" wrapText="1"/>
    </xf>
    <xf numFmtId="0" fontId="52" fillId="11" borderId="41" xfId="9" applyFont="1" applyFill="1" applyBorder="1" applyAlignment="1">
      <alignment horizontal="left" vertical="center" wrapText="1"/>
    </xf>
    <xf numFmtId="0" fontId="59" fillId="11" borderId="44" xfId="9" applyFont="1" applyFill="1" applyBorder="1" applyAlignment="1">
      <alignment horizontal="left" vertical="center" wrapText="1"/>
    </xf>
    <xf numFmtId="0" fontId="47" fillId="10" borderId="3" xfId="9" applyFont="1" applyFill="1" applyBorder="1" applyAlignment="1">
      <alignment horizontal="center" vertical="center" wrapText="1"/>
    </xf>
    <xf numFmtId="0" fontId="47" fillId="10" borderId="37" xfId="9" applyFont="1" applyFill="1" applyBorder="1" applyAlignment="1">
      <alignment vertical="center" wrapText="1"/>
    </xf>
    <xf numFmtId="0" fontId="47" fillId="10" borderId="3" xfId="9" applyFont="1" applyFill="1" applyBorder="1" applyAlignment="1">
      <alignment vertical="center" wrapText="1"/>
    </xf>
    <xf numFmtId="10" fontId="53" fillId="10" borderId="3" xfId="177" applyNumberFormat="1" applyFont="1" applyFill="1" applyBorder="1" applyAlignment="1">
      <alignment horizontal="right" vertical="center"/>
    </xf>
    <xf numFmtId="0" fontId="52" fillId="11" borderId="51" xfId="9" applyFont="1" applyFill="1" applyBorder="1" applyAlignment="1">
      <alignment horizontal="left" vertical="center" wrapText="1"/>
    </xf>
    <xf numFmtId="10" fontId="46" fillId="11" borderId="43" xfId="177" applyNumberFormat="1" applyFont="1" applyFill="1" applyBorder="1" applyAlignment="1">
      <alignment horizontal="left" vertical="center"/>
    </xf>
    <xf numFmtId="0" fontId="15" fillId="0" borderId="42" xfId="9" quotePrefix="1" applyFont="1" applyBorder="1" applyAlignment="1">
      <alignment horizontal="left" vertical="center" wrapText="1"/>
    </xf>
    <xf numFmtId="0" fontId="53" fillId="0" borderId="41" xfId="9" applyFont="1" applyBorder="1" applyAlignment="1">
      <alignment horizontal="center" vertical="center" wrapText="1"/>
    </xf>
    <xf numFmtId="3" fontId="13" fillId="0" borderId="41" xfId="178" applyNumberFormat="1" applyFont="1" applyBorder="1" applyAlignment="1">
      <alignment horizontal="right" vertical="center"/>
    </xf>
    <xf numFmtId="10" fontId="53" fillId="11" borderId="46" xfId="177" applyNumberFormat="1" applyFont="1" applyFill="1" applyBorder="1" applyAlignment="1">
      <alignment horizontal="right" vertical="center"/>
    </xf>
    <xf numFmtId="3" fontId="13" fillId="0" borderId="42" xfId="178" applyNumberFormat="1" applyFont="1" applyBorder="1" applyAlignment="1">
      <alignment horizontal="right" vertical="center"/>
    </xf>
    <xf numFmtId="10" fontId="46" fillId="11" borderId="22" xfId="177" applyNumberFormat="1" applyFont="1" applyFill="1" applyBorder="1" applyAlignment="1">
      <alignment horizontal="left" vertical="center"/>
    </xf>
    <xf numFmtId="0" fontId="15" fillId="0" borderId="47" xfId="9" applyFont="1" applyBorder="1" applyAlignment="1">
      <alignment horizontal="left" vertical="center" wrapText="1"/>
    </xf>
    <xf numFmtId="0" fontId="53" fillId="0" borderId="46" xfId="9" applyFont="1" applyBorder="1" applyAlignment="1">
      <alignment horizontal="center" vertical="center" wrapText="1"/>
    </xf>
    <xf numFmtId="3" fontId="13" fillId="0" borderId="46" xfId="178" applyNumberFormat="1" applyFont="1" applyBorder="1" applyAlignment="1">
      <alignment horizontal="right" vertical="center"/>
    </xf>
    <xf numFmtId="3" fontId="13" fillId="0" borderId="47" xfId="178" applyNumberFormat="1" applyFont="1" applyBorder="1" applyAlignment="1">
      <alignment horizontal="right" vertical="center"/>
    </xf>
    <xf numFmtId="0" fontId="53" fillId="11" borderId="41" xfId="9" applyFont="1" applyFill="1" applyBorder="1" applyAlignment="1">
      <alignment horizontal="center" vertical="center" wrapText="1"/>
    </xf>
    <xf numFmtId="0" fontId="52" fillId="2" borderId="44" xfId="9" applyFont="1" applyFill="1" applyBorder="1" applyAlignment="1">
      <alignment vertical="center" wrapText="1"/>
    </xf>
    <xf numFmtId="0" fontId="15" fillId="0" borderId="45" xfId="9" applyFont="1" applyBorder="1" applyAlignment="1">
      <alignment vertical="center" wrapText="1"/>
    </xf>
    <xf numFmtId="0" fontId="15" fillId="2" borderId="44" xfId="9" applyFont="1" applyFill="1" applyBorder="1" applyAlignment="1">
      <alignment horizontal="center" vertical="center" wrapText="1"/>
    </xf>
    <xf numFmtId="10" fontId="53" fillId="0" borderId="44" xfId="177" applyNumberFormat="1" applyFont="1" applyFill="1" applyBorder="1" applyAlignment="1">
      <alignment horizontal="right" vertical="center"/>
    </xf>
    <xf numFmtId="10" fontId="49" fillId="11" borderId="32" xfId="177" applyNumberFormat="1" applyFont="1" applyFill="1" applyBorder="1" applyAlignment="1">
      <alignment horizontal="left" vertical="center"/>
    </xf>
    <xf numFmtId="0" fontId="57" fillId="2" borderId="48" xfId="9" applyFont="1" applyFill="1" applyBorder="1" applyAlignment="1">
      <alignment horizontal="center" vertical="center" wrapText="1"/>
    </xf>
    <xf numFmtId="0" fontId="10" fillId="0" borderId="45" xfId="9" applyFont="1" applyBorder="1" applyAlignment="1">
      <alignment vertical="center" wrapText="1"/>
    </xf>
    <xf numFmtId="0" fontId="10" fillId="2" borderId="44" xfId="9" applyFont="1" applyFill="1" applyBorder="1" applyAlignment="1">
      <alignment horizontal="center" vertical="center" wrapText="1"/>
    </xf>
    <xf numFmtId="3" fontId="38" fillId="11" borderId="54" xfId="179" applyNumberFormat="1" applyFont="1" applyFill="1" applyBorder="1" applyAlignment="1">
      <alignment horizontal="right" vertical="center"/>
    </xf>
    <xf numFmtId="3" fontId="10" fillId="11" borderId="54" xfId="178" applyNumberFormat="1" applyFont="1" applyFill="1" applyBorder="1" applyAlignment="1">
      <alignment horizontal="right" vertical="center"/>
    </xf>
    <xf numFmtId="0" fontId="57" fillId="10" borderId="3" xfId="9" applyFont="1" applyFill="1" applyBorder="1" applyAlignment="1">
      <alignment horizontal="center" vertical="center" wrapText="1"/>
    </xf>
    <xf numFmtId="49" fontId="10" fillId="2" borderId="46" xfId="9" applyNumberFormat="1" applyFont="1" applyFill="1" applyBorder="1" applyAlignment="1">
      <alignment horizontal="center" vertical="center" wrapText="1"/>
    </xf>
    <xf numFmtId="3" fontId="15" fillId="7" borderId="22" xfId="177" applyNumberFormat="1" applyFont="1" applyFill="1" applyBorder="1" applyAlignment="1">
      <alignment horizontal="right" vertical="center"/>
    </xf>
    <xf numFmtId="0" fontId="10" fillId="0" borderId="16" xfId="0" applyFont="1" applyBorder="1" applyAlignment="1">
      <alignment vertical="center" wrapText="1"/>
    </xf>
    <xf numFmtId="49" fontId="10" fillId="2" borderId="44" xfId="9" applyNumberFormat="1" applyFont="1" applyFill="1" applyBorder="1" applyAlignment="1">
      <alignment horizontal="center" vertical="center" wrapText="1"/>
    </xf>
    <xf numFmtId="0" fontId="52" fillId="11" borderId="54" xfId="9" applyFont="1" applyFill="1" applyBorder="1" applyAlignment="1">
      <alignment horizontal="left" vertical="center" wrapText="1"/>
    </xf>
    <xf numFmtId="3" fontId="48" fillId="11" borderId="57" xfId="177" applyNumberFormat="1" applyFont="1" applyFill="1" applyBorder="1" applyAlignment="1">
      <alignment horizontal="right" vertical="center"/>
    </xf>
    <xf numFmtId="0" fontId="54" fillId="10" borderId="33" xfId="9" applyFont="1" applyFill="1" applyBorder="1" applyAlignment="1">
      <alignment horizontal="center" vertical="center" wrapText="1"/>
    </xf>
    <xf numFmtId="0" fontId="54" fillId="10" borderId="34" xfId="9" applyFont="1" applyFill="1" applyBorder="1" applyAlignment="1">
      <alignment vertical="center" wrapText="1"/>
    </xf>
    <xf numFmtId="0" fontId="54" fillId="10" borderId="33" xfId="9" applyFont="1" applyFill="1" applyBorder="1" applyAlignment="1">
      <alignment vertical="center" wrapText="1"/>
    </xf>
    <xf numFmtId="3" fontId="50" fillId="11" borderId="51" xfId="178" applyNumberFormat="1" applyFont="1" applyFill="1" applyBorder="1" applyAlignment="1">
      <alignment horizontal="right" vertical="center"/>
    </xf>
    <xf numFmtId="0" fontId="52" fillId="11" borderId="44" xfId="9" applyFont="1" applyFill="1" applyBorder="1" applyAlignment="1">
      <alignment horizontal="left" vertical="center" wrapText="1"/>
    </xf>
    <xf numFmtId="3" fontId="50" fillId="11" borderId="39" xfId="178" applyNumberFormat="1" applyFont="1" applyFill="1" applyBorder="1" applyAlignment="1">
      <alignment horizontal="right" vertical="center"/>
    </xf>
    <xf numFmtId="0" fontId="54" fillId="2" borderId="48" xfId="9" applyFont="1" applyFill="1" applyBorder="1" applyAlignment="1">
      <alignment horizontal="center" vertical="center" wrapText="1"/>
    </xf>
    <xf numFmtId="0" fontId="53" fillId="2" borderId="45" xfId="9" applyFont="1" applyFill="1" applyBorder="1" applyAlignment="1">
      <alignment vertical="center" wrapText="1"/>
    </xf>
    <xf numFmtId="49" fontId="53" fillId="2" borderId="44" xfId="9" applyNumberFormat="1" applyFont="1" applyFill="1" applyBorder="1" applyAlignment="1">
      <alignment horizontal="center" vertical="center" wrapText="1"/>
    </xf>
    <xf numFmtId="3" fontId="51" fillId="0" borderId="44" xfId="178" applyNumberFormat="1" applyFont="1" applyBorder="1" applyAlignment="1">
      <alignment horizontal="right" vertical="center"/>
    </xf>
    <xf numFmtId="3" fontId="53" fillId="2" borderId="44" xfId="178" applyNumberFormat="1" applyFont="1" applyFill="1" applyBorder="1" applyAlignment="1">
      <alignment horizontal="right" vertical="center"/>
    </xf>
    <xf numFmtId="3" fontId="53" fillId="2" borderId="58" xfId="178" applyNumberFormat="1" applyFont="1" applyFill="1" applyBorder="1" applyAlignment="1">
      <alignment horizontal="right" vertical="center"/>
    </xf>
    <xf numFmtId="0" fontId="10" fillId="0" borderId="42" xfId="9" quotePrefix="1" applyFont="1" applyBorder="1" applyAlignment="1">
      <alignment horizontal="left" vertical="center" wrapText="1"/>
    </xf>
    <xf numFmtId="0" fontId="47" fillId="10" borderId="35" xfId="9" applyFont="1" applyFill="1" applyBorder="1" applyAlignment="1">
      <alignment horizontal="center" vertical="center" wrapText="1"/>
    </xf>
    <xf numFmtId="0" fontId="47" fillId="10" borderId="34" xfId="9" applyFont="1" applyFill="1" applyBorder="1" applyAlignment="1">
      <alignment vertical="center" wrapText="1"/>
    </xf>
    <xf numFmtId="0" fontId="52" fillId="11" borderId="39" xfId="9" applyFont="1" applyFill="1" applyBorder="1" applyAlignment="1">
      <alignment horizontal="left" vertical="center" wrapText="1"/>
    </xf>
    <xf numFmtId="0" fontId="54" fillId="2" borderId="22" xfId="9" applyFont="1" applyFill="1" applyBorder="1" applyAlignment="1">
      <alignment horizontal="center" vertical="center" wrapText="1"/>
    </xf>
    <xf numFmtId="0" fontId="15" fillId="0" borderId="47" xfId="9" applyFont="1" applyBorder="1" applyAlignment="1">
      <alignment vertical="center" wrapText="1"/>
    </xf>
    <xf numFmtId="0" fontId="53" fillId="2" borderId="33" xfId="9" applyFont="1" applyFill="1" applyBorder="1" applyAlignment="1">
      <alignment vertical="center" wrapText="1"/>
    </xf>
    <xf numFmtId="0" fontId="52" fillId="11" borderId="33" xfId="9" applyFont="1" applyFill="1" applyBorder="1" applyAlignment="1">
      <alignment horizontal="left" vertical="center" wrapText="1"/>
    </xf>
    <xf numFmtId="0" fontId="47" fillId="10" borderId="36" xfId="9" applyFont="1" applyFill="1" applyBorder="1" applyAlignment="1">
      <alignment horizontal="center" vertical="center" wrapText="1"/>
    </xf>
    <xf numFmtId="0" fontId="48" fillId="11" borderId="30" xfId="9" applyFont="1" applyFill="1" applyBorder="1" applyAlignment="1">
      <alignment horizontal="left" vertical="center" wrapText="1"/>
    </xf>
    <xf numFmtId="0" fontId="48" fillId="2" borderId="44" xfId="9" applyFont="1" applyFill="1" applyBorder="1" applyAlignment="1">
      <alignment vertical="center" wrapText="1"/>
    </xf>
    <xf numFmtId="0" fontId="15" fillId="2" borderId="21" xfId="9" applyFont="1" applyFill="1" applyBorder="1" applyAlignment="1">
      <alignment vertical="center" wrapText="1"/>
    </xf>
    <xf numFmtId="0" fontId="48" fillId="2" borderId="33" xfId="9" applyFont="1" applyFill="1" applyBorder="1" applyAlignment="1">
      <alignment vertical="center" wrapText="1"/>
    </xf>
    <xf numFmtId="0" fontId="15" fillId="2" borderId="53" xfId="9" applyFont="1" applyFill="1" applyBorder="1" applyAlignment="1">
      <alignment vertical="center" wrapText="1"/>
    </xf>
    <xf numFmtId="0" fontId="48" fillId="2" borderId="30" xfId="9" applyFont="1" applyFill="1" applyBorder="1" applyAlignment="1">
      <alignment vertical="center" wrapText="1"/>
    </xf>
    <xf numFmtId="0" fontId="15" fillId="2" borderId="40" xfId="9" applyFont="1" applyFill="1" applyBorder="1" applyAlignment="1">
      <alignment vertical="center" wrapText="1"/>
    </xf>
    <xf numFmtId="0" fontId="15" fillId="2" borderId="51" xfId="9" applyFont="1" applyFill="1" applyBorder="1" applyAlignment="1">
      <alignment horizontal="center" vertical="center" wrapText="1"/>
    </xf>
    <xf numFmtId="0" fontId="48" fillId="2" borderId="39" xfId="9" applyFont="1" applyFill="1" applyBorder="1" applyAlignment="1">
      <alignment vertical="center" wrapText="1"/>
    </xf>
    <xf numFmtId="0" fontId="15" fillId="2" borderId="46" xfId="9" applyFont="1" applyFill="1" applyBorder="1" applyAlignment="1">
      <alignment vertical="center" wrapText="1"/>
    </xf>
    <xf numFmtId="0" fontId="15" fillId="2" borderId="45" xfId="9" applyFont="1" applyFill="1" applyBorder="1" applyAlignment="1">
      <alignment vertical="center" wrapText="1"/>
    </xf>
    <xf numFmtId="0" fontId="48" fillId="2" borderId="42" xfId="9" applyFont="1" applyFill="1" applyBorder="1" applyAlignment="1">
      <alignment vertical="center" wrapText="1"/>
    </xf>
    <xf numFmtId="0" fontId="15" fillId="2" borderId="47" xfId="9" applyFont="1" applyFill="1" applyBorder="1" applyAlignment="1">
      <alignment vertical="center" wrapText="1"/>
    </xf>
    <xf numFmtId="0" fontId="15" fillId="2" borderId="46" xfId="9" applyFont="1" applyFill="1" applyBorder="1" applyAlignment="1">
      <alignment horizontal="center" vertical="center" wrapText="1"/>
    </xf>
    <xf numFmtId="0" fontId="48" fillId="11" borderId="41" xfId="9" applyFont="1" applyFill="1" applyBorder="1" applyAlignment="1">
      <alignment horizontal="center" vertical="center" wrapText="1"/>
    </xf>
    <xf numFmtId="0" fontId="15" fillId="2" borderId="19" xfId="9" applyFont="1" applyFill="1" applyBorder="1" applyAlignment="1">
      <alignment horizontal="left" vertical="center" wrapText="1"/>
    </xf>
    <xf numFmtId="0" fontId="15" fillId="2" borderId="47" xfId="9" applyFont="1" applyFill="1" applyBorder="1" applyAlignment="1">
      <alignment horizontal="left" vertical="center" wrapText="1"/>
    </xf>
    <xf numFmtId="0" fontId="15" fillId="2" borderId="52" xfId="9" applyFont="1" applyFill="1" applyBorder="1" applyAlignment="1">
      <alignment horizontal="left" vertical="center" wrapText="1"/>
    </xf>
    <xf numFmtId="0" fontId="15" fillId="2" borderId="58" xfId="9" applyFont="1" applyFill="1" applyBorder="1" applyAlignment="1">
      <alignment horizontal="left" vertical="center" wrapText="1"/>
    </xf>
    <xf numFmtId="0" fontId="48" fillId="11" borderId="41" xfId="9" applyFont="1" applyFill="1" applyBorder="1" applyAlignment="1">
      <alignment horizontal="left" vertical="center" wrapText="1"/>
    </xf>
    <xf numFmtId="0" fontId="15" fillId="2" borderId="58" xfId="9" applyFont="1" applyFill="1" applyBorder="1" applyAlignment="1">
      <alignment vertical="center" wrapText="1"/>
    </xf>
    <xf numFmtId="0" fontId="15" fillId="2" borderId="41" xfId="9" applyFont="1" applyFill="1" applyBorder="1" applyAlignment="1">
      <alignment horizontal="center" vertical="center" wrapText="1"/>
    </xf>
    <xf numFmtId="0" fontId="31" fillId="12" borderId="0" xfId="178" applyFill="1"/>
    <xf numFmtId="0" fontId="31" fillId="10" borderId="0" xfId="178" applyFill="1"/>
    <xf numFmtId="0" fontId="48" fillId="2" borderId="44" xfId="9" applyFont="1" applyFill="1" applyBorder="1" applyAlignment="1">
      <alignment horizontal="left" vertical="center" wrapText="1"/>
    </xf>
    <xf numFmtId="0" fontId="48" fillId="2" borderId="39" xfId="9" applyFont="1" applyFill="1" applyBorder="1" applyAlignment="1">
      <alignment horizontal="left" vertical="center" wrapText="1"/>
    </xf>
    <xf numFmtId="0" fontId="48" fillId="2" borderId="33" xfId="9" applyFont="1" applyFill="1" applyBorder="1" applyAlignment="1">
      <alignment horizontal="left" vertical="center" wrapText="1"/>
    </xf>
    <xf numFmtId="0" fontId="15" fillId="2" borderId="54" xfId="9" applyFont="1" applyFill="1" applyBorder="1" applyAlignment="1">
      <alignment horizontal="center" vertical="center" wrapText="1"/>
    </xf>
    <xf numFmtId="0" fontId="52" fillId="0" borderId="49" xfId="9" applyFont="1" applyBorder="1" applyAlignment="1">
      <alignment horizontal="left" vertical="center" wrapText="1"/>
    </xf>
    <xf numFmtId="0" fontId="53" fillId="0" borderId="52" xfId="178" applyFont="1" applyBorder="1" applyAlignment="1">
      <alignment vertical="center" wrapText="1"/>
    </xf>
    <xf numFmtId="0" fontId="53" fillId="0" borderId="39" xfId="9" applyFont="1" applyBorder="1" applyAlignment="1">
      <alignment horizontal="center" vertical="center" wrapText="1"/>
    </xf>
    <xf numFmtId="0" fontId="62" fillId="0" borderId="0" xfId="178" applyFont="1"/>
    <xf numFmtId="0" fontId="62" fillId="2" borderId="0" xfId="178" applyFont="1" applyFill="1"/>
    <xf numFmtId="0" fontId="62" fillId="12" borderId="0" xfId="178" applyFont="1" applyFill="1"/>
    <xf numFmtId="0" fontId="62" fillId="10" borderId="0" xfId="178" applyFont="1" applyFill="1"/>
    <xf numFmtId="3" fontId="62" fillId="0" borderId="0" xfId="178" applyNumberFormat="1" applyFont="1"/>
    <xf numFmtId="0" fontId="74" fillId="5" borderId="3" xfId="9" applyFont="1" applyFill="1" applyBorder="1" applyAlignment="1">
      <alignment horizontal="center" vertical="center" wrapText="1"/>
    </xf>
    <xf numFmtId="0" fontId="74" fillId="5" borderId="36" xfId="9" applyFont="1" applyFill="1" applyBorder="1" applyAlignment="1">
      <alignment horizontal="center" vertical="center" wrapText="1"/>
    </xf>
    <xf numFmtId="0" fontId="74" fillId="5" borderId="37" xfId="9" applyFont="1" applyFill="1" applyBorder="1" applyAlignment="1">
      <alignment vertical="center" wrapText="1"/>
    </xf>
    <xf numFmtId="0" fontId="44" fillId="5" borderId="3" xfId="9" applyFont="1" applyFill="1" applyBorder="1" applyAlignment="1">
      <alignment vertical="center" wrapText="1"/>
    </xf>
    <xf numFmtId="0" fontId="63" fillId="0" borderId="30" xfId="9" applyFont="1" applyBorder="1" applyAlignment="1">
      <alignment vertical="center" wrapText="1"/>
    </xf>
    <xf numFmtId="0" fontId="47" fillId="10" borderId="37" xfId="9" applyFont="1" applyFill="1" applyBorder="1" applyAlignment="1">
      <alignment horizontal="left" vertical="center" wrapText="1"/>
    </xf>
    <xf numFmtId="0" fontId="47" fillId="10" borderId="3" xfId="9" applyFont="1" applyFill="1" applyBorder="1" applyAlignment="1">
      <alignment horizontal="left" vertical="center" wrapText="1"/>
    </xf>
    <xf numFmtId="0" fontId="63" fillId="0" borderId="39" xfId="9" applyFont="1" applyBorder="1" applyAlignment="1">
      <alignment vertical="center" wrapText="1"/>
    </xf>
    <xf numFmtId="0" fontId="48" fillId="11" borderId="39" xfId="9" applyFont="1" applyFill="1" applyBorder="1" applyAlignment="1">
      <alignment horizontal="left" vertical="center" wrapText="1"/>
    </xf>
    <xf numFmtId="0" fontId="15" fillId="0" borderId="46" xfId="9" applyFont="1" applyBorder="1" applyAlignment="1">
      <alignment vertical="center" wrapText="1"/>
    </xf>
    <xf numFmtId="0" fontId="15" fillId="2" borderId="49" xfId="9" applyFont="1" applyFill="1" applyBorder="1" applyAlignment="1">
      <alignment horizontal="left" vertical="center" wrapText="1"/>
    </xf>
    <xf numFmtId="0" fontId="63" fillId="0" borderId="33" xfId="9" applyFont="1" applyBorder="1" applyAlignment="1">
      <alignment vertical="center" wrapText="1"/>
    </xf>
    <xf numFmtId="0" fontId="48" fillId="11" borderId="54" xfId="9" applyFont="1" applyFill="1" applyBorder="1" applyAlignment="1">
      <alignment horizontal="left" vertical="center" wrapText="1"/>
    </xf>
    <xf numFmtId="3" fontId="49" fillId="11" borderId="34" xfId="178" applyNumberFormat="1" applyFont="1" applyFill="1" applyBorder="1" applyAlignment="1">
      <alignment horizontal="right" vertical="center"/>
    </xf>
    <xf numFmtId="0" fontId="66" fillId="10" borderId="35" xfId="9" applyFont="1" applyFill="1" applyBorder="1" applyAlignment="1">
      <alignment horizontal="center" vertical="center" wrapText="1"/>
    </xf>
    <xf numFmtId="0" fontId="66" fillId="10" borderId="33" xfId="9" applyFont="1" applyFill="1" applyBorder="1" applyAlignment="1">
      <alignment horizontal="left" vertical="center" wrapText="1"/>
    </xf>
    <xf numFmtId="3" fontId="46" fillId="10" borderId="39" xfId="178" applyNumberFormat="1" applyFont="1" applyFill="1" applyBorder="1" applyAlignment="1">
      <alignment horizontal="right" vertical="center"/>
    </xf>
    <xf numFmtId="3" fontId="46" fillId="10" borderId="52" xfId="178" applyNumberFormat="1" applyFont="1" applyFill="1" applyBorder="1" applyAlignment="1">
      <alignment horizontal="right" vertical="center"/>
    </xf>
    <xf numFmtId="0" fontId="60" fillId="11" borderId="39" xfId="9" applyFont="1" applyFill="1" applyBorder="1" applyAlignment="1">
      <alignment horizontal="left" vertical="center" wrapText="1"/>
    </xf>
    <xf numFmtId="3" fontId="50" fillId="11" borderId="31" xfId="178" applyNumberFormat="1" applyFont="1" applyFill="1" applyBorder="1" applyAlignment="1">
      <alignment horizontal="right" vertical="center"/>
    </xf>
    <xf numFmtId="0" fontId="60" fillId="2" borderId="22" xfId="9" applyFont="1" applyFill="1" applyBorder="1" applyAlignment="1">
      <alignment vertical="center" wrapText="1"/>
    </xf>
    <xf numFmtId="0" fontId="55" fillId="0" borderId="46" xfId="9" applyFont="1" applyBorder="1" applyAlignment="1">
      <alignment vertical="center" wrapText="1"/>
    </xf>
    <xf numFmtId="49" fontId="55" fillId="2" borderId="46" xfId="178" applyNumberFormat="1" applyFont="1" applyFill="1" applyBorder="1" applyAlignment="1">
      <alignment horizontal="center" vertical="center" wrapText="1"/>
    </xf>
    <xf numFmtId="3" fontId="51" fillId="0" borderId="47" xfId="178" applyNumberFormat="1" applyFont="1" applyBorder="1" applyAlignment="1">
      <alignment horizontal="right" vertical="center"/>
    </xf>
    <xf numFmtId="3" fontId="50" fillId="11" borderId="52" xfId="178" applyNumberFormat="1" applyFont="1" applyFill="1" applyBorder="1" applyAlignment="1">
      <alignment horizontal="right" vertical="center"/>
    </xf>
    <xf numFmtId="0" fontId="15" fillId="0" borderId="22" xfId="178" applyFont="1" applyBorder="1" applyAlignment="1">
      <alignment horizontal="left" vertical="center" wrapText="1"/>
    </xf>
    <xf numFmtId="0" fontId="15" fillId="2" borderId="22" xfId="9" applyFont="1" applyFill="1" applyBorder="1" applyAlignment="1">
      <alignment horizontal="left" vertical="center" wrapText="1"/>
    </xf>
    <xf numFmtId="0" fontId="48" fillId="2" borderId="41" xfId="9" applyFont="1" applyFill="1" applyBorder="1" applyAlignment="1">
      <alignment vertical="center" wrapText="1"/>
    </xf>
    <xf numFmtId="0" fontId="15" fillId="2" borderId="43" xfId="9" applyFont="1" applyFill="1" applyBorder="1" applyAlignment="1">
      <alignment horizontal="left" vertical="center" wrapText="1"/>
    </xf>
    <xf numFmtId="49" fontId="48" fillId="11" borderId="33" xfId="9" applyNumberFormat="1" applyFont="1" applyFill="1" applyBorder="1" applyAlignment="1">
      <alignment horizontal="center" vertical="center" wrapText="1"/>
    </xf>
    <xf numFmtId="49" fontId="48" fillId="11" borderId="51" xfId="9" applyNumberFormat="1" applyFont="1" applyFill="1" applyBorder="1" applyAlignment="1">
      <alignment horizontal="center" vertical="center" wrapText="1"/>
    </xf>
    <xf numFmtId="0" fontId="48" fillId="0" borderId="44" xfId="9" applyFont="1" applyBorder="1" applyAlignment="1">
      <alignment vertical="center" wrapText="1"/>
    </xf>
    <xf numFmtId="49" fontId="15" fillId="0" borderId="46" xfId="9" applyNumberFormat="1" applyFont="1" applyBorder="1" applyAlignment="1">
      <alignment horizontal="center" vertical="center" wrapText="1"/>
    </xf>
    <xf numFmtId="0" fontId="48" fillId="0" borderId="39" xfId="9" applyFont="1" applyBorder="1" applyAlignment="1">
      <alignment vertical="center" wrapText="1"/>
    </xf>
    <xf numFmtId="49" fontId="15" fillId="2" borderId="41" xfId="9" applyNumberFormat="1" applyFont="1" applyFill="1" applyBorder="1" applyAlignment="1">
      <alignment horizontal="center" vertical="center" wrapText="1"/>
    </xf>
    <xf numFmtId="49" fontId="15" fillId="2" borderId="39" xfId="9" applyNumberFormat="1" applyFont="1" applyFill="1" applyBorder="1" applyAlignment="1">
      <alignment horizontal="center" vertical="center" wrapText="1"/>
    </xf>
    <xf numFmtId="0" fontId="15" fillId="2" borderId="22" xfId="9" applyFont="1" applyFill="1" applyBorder="1" applyAlignment="1">
      <alignment vertical="center" wrapText="1"/>
    </xf>
    <xf numFmtId="0" fontId="15" fillId="2" borderId="48" xfId="9" applyFont="1" applyFill="1" applyBorder="1" applyAlignment="1">
      <alignment vertical="center" wrapText="1"/>
    </xf>
    <xf numFmtId="0" fontId="15" fillId="0" borderId="46" xfId="9" applyFont="1" applyBorder="1" applyAlignment="1">
      <alignment horizontal="left" vertical="center" wrapText="1"/>
    </xf>
    <xf numFmtId="0" fontId="15" fillId="2" borderId="46" xfId="9" applyFont="1" applyFill="1" applyBorder="1" applyAlignment="1">
      <alignment horizontal="left" vertical="center" wrapText="1"/>
    </xf>
    <xf numFmtId="0" fontId="15" fillId="2" borderId="41" xfId="9" applyFont="1" applyFill="1" applyBorder="1" applyAlignment="1">
      <alignment horizontal="left" vertical="center" wrapText="1"/>
    </xf>
    <xf numFmtId="0" fontId="74" fillId="0" borderId="39" xfId="9" applyFont="1" applyBorder="1" applyAlignment="1">
      <alignment vertical="center" wrapText="1"/>
    </xf>
    <xf numFmtId="0" fontId="48" fillId="0" borderId="41" xfId="9" applyFont="1" applyBorder="1" applyAlignment="1">
      <alignment vertical="center" wrapText="1"/>
    </xf>
    <xf numFmtId="0" fontId="15" fillId="2" borderId="41" xfId="9" quotePrefix="1" applyFont="1" applyFill="1" applyBorder="1" applyAlignment="1">
      <alignment horizontal="left" vertical="center" wrapText="1"/>
    </xf>
    <xf numFmtId="0" fontId="48" fillId="0" borderId="42" xfId="9" applyFont="1" applyBorder="1" applyAlignment="1">
      <alignment horizontal="center" vertical="center" wrapText="1"/>
    </xf>
    <xf numFmtId="49" fontId="48" fillId="11" borderId="54" xfId="9" applyNumberFormat="1" applyFont="1" applyFill="1" applyBorder="1" applyAlignment="1">
      <alignment horizontal="center" vertical="center" wrapText="1"/>
    </xf>
    <xf numFmtId="0" fontId="47" fillId="10" borderId="33" xfId="9" applyFont="1" applyFill="1" applyBorder="1" applyAlignment="1">
      <alignment horizontal="left" vertical="center" wrapText="1"/>
    </xf>
    <xf numFmtId="0" fontId="15" fillId="2" borderId="17" xfId="9" applyFont="1" applyFill="1" applyBorder="1" applyAlignment="1">
      <alignment horizontal="left" vertical="center" wrapText="1"/>
    </xf>
    <xf numFmtId="0" fontId="15" fillId="2" borderId="22" xfId="178" applyFont="1" applyFill="1" applyBorder="1" applyAlignment="1">
      <alignment vertical="center" wrapText="1"/>
    </xf>
    <xf numFmtId="0" fontId="66" fillId="10" borderId="36" xfId="9" applyFont="1" applyFill="1" applyBorder="1" applyAlignment="1">
      <alignment horizontal="center" vertical="center" wrapText="1"/>
    </xf>
    <xf numFmtId="0" fontId="66" fillId="10" borderId="37" xfId="9" applyFont="1" applyFill="1" applyBorder="1" applyAlignment="1">
      <alignment vertical="center" wrapText="1"/>
    </xf>
    <xf numFmtId="0" fontId="66" fillId="10" borderId="3" xfId="9" applyFont="1" applyFill="1" applyBorder="1" applyAlignment="1">
      <alignment vertical="center" wrapText="1"/>
    </xf>
    <xf numFmtId="3" fontId="46" fillId="10" borderId="30" xfId="178" applyNumberFormat="1" applyFont="1" applyFill="1" applyBorder="1" applyAlignment="1">
      <alignment horizontal="right" vertical="center"/>
    </xf>
    <xf numFmtId="0" fontId="66" fillId="2" borderId="22" xfId="9" applyFont="1" applyFill="1" applyBorder="1" applyAlignment="1">
      <alignment horizontal="center" vertical="center" wrapText="1"/>
    </xf>
    <xf numFmtId="0" fontId="55" fillId="2" borderId="47" xfId="9" applyFont="1" applyFill="1" applyBorder="1" applyAlignment="1">
      <alignment horizontal="left" vertical="center" wrapText="1"/>
    </xf>
    <xf numFmtId="49" fontId="55" fillId="2" borderId="46" xfId="9" applyNumberFormat="1" applyFont="1" applyFill="1" applyBorder="1" applyAlignment="1">
      <alignment horizontal="center" vertical="center" wrapText="1"/>
    </xf>
    <xf numFmtId="0" fontId="48" fillId="11" borderId="51" xfId="9" applyFont="1" applyFill="1" applyBorder="1" applyAlignment="1">
      <alignment horizontal="left" vertical="center" wrapText="1"/>
    </xf>
    <xf numFmtId="10" fontId="15" fillId="11" borderId="41" xfId="177" applyNumberFormat="1" applyFont="1" applyFill="1" applyBorder="1" applyAlignment="1">
      <alignment horizontal="right" vertical="center"/>
    </xf>
    <xf numFmtId="0" fontId="75" fillId="2" borderId="48" xfId="178" applyFont="1" applyFill="1" applyBorder="1" applyAlignment="1">
      <alignment vertical="center" wrapText="1"/>
    </xf>
    <xf numFmtId="49" fontId="53" fillId="0" borderId="46" xfId="178" applyNumberFormat="1" applyFont="1" applyBorder="1" applyAlignment="1">
      <alignment horizontal="center" vertical="center" wrapText="1"/>
    </xf>
    <xf numFmtId="0" fontId="75" fillId="2" borderId="39" xfId="178" applyFont="1" applyFill="1" applyBorder="1" applyAlignment="1">
      <alignment vertical="center" wrapText="1"/>
    </xf>
    <xf numFmtId="0" fontId="75" fillId="2" borderId="49" xfId="178" applyFont="1" applyFill="1" applyBorder="1" applyAlignment="1">
      <alignment vertical="center" wrapText="1"/>
    </xf>
    <xf numFmtId="0" fontId="15" fillId="0" borderId="41" xfId="9" applyFont="1" applyBorder="1" applyAlignment="1">
      <alignment horizontal="left" vertical="center" wrapText="1"/>
    </xf>
    <xf numFmtId="49" fontId="15" fillId="0" borderId="41" xfId="178" applyNumberFormat="1" applyFont="1" applyBorder="1" applyAlignment="1">
      <alignment horizontal="center" vertical="center" wrapText="1"/>
    </xf>
    <xf numFmtId="0" fontId="75" fillId="2" borderId="35" xfId="178" applyFont="1" applyFill="1" applyBorder="1" applyAlignment="1">
      <alignment vertical="center" wrapText="1"/>
    </xf>
    <xf numFmtId="0" fontId="15" fillId="0" borderId="34" xfId="178" quotePrefix="1" applyFont="1" applyBorder="1" applyAlignment="1">
      <alignment vertical="center" wrapText="1"/>
    </xf>
    <xf numFmtId="49" fontId="15" fillId="0" borderId="33" xfId="178" applyNumberFormat="1" applyFont="1" applyBorder="1" applyAlignment="1">
      <alignment horizontal="center" vertical="center" wrapText="1"/>
    </xf>
    <xf numFmtId="49" fontId="48" fillId="11" borderId="30" xfId="9" applyNumberFormat="1" applyFont="1" applyFill="1" applyBorder="1" applyAlignment="1">
      <alignment horizontal="center" vertical="center" wrapText="1"/>
    </xf>
    <xf numFmtId="0" fontId="15" fillId="0" borderId="46" xfId="178" quotePrefix="1" applyFont="1" applyBorder="1" applyAlignment="1">
      <alignment vertical="center" wrapText="1"/>
    </xf>
    <xf numFmtId="0" fontId="15" fillId="0" borderId="54" xfId="9" quotePrefix="1" applyFont="1" applyBorder="1" applyAlignment="1">
      <alignment horizontal="left" vertical="center" wrapText="1"/>
    </xf>
    <xf numFmtId="49" fontId="15" fillId="0" borderId="54" xfId="9" applyNumberFormat="1" applyFont="1" applyBorder="1" applyAlignment="1">
      <alignment horizontal="center" vertical="center" wrapText="1"/>
    </xf>
    <xf numFmtId="0" fontId="27" fillId="13" borderId="3" xfId="9" applyFont="1" applyFill="1" applyBorder="1" applyAlignment="1">
      <alignment horizontal="center" vertical="center" wrapText="1"/>
    </xf>
    <xf numFmtId="0" fontId="27" fillId="13" borderId="36" xfId="9" applyFont="1" applyFill="1" applyBorder="1" applyAlignment="1">
      <alignment horizontal="center" vertical="center" wrapText="1"/>
    </xf>
    <xf numFmtId="0" fontId="27" fillId="13" borderId="37" xfId="9" applyFont="1" applyFill="1" applyBorder="1" applyAlignment="1">
      <alignment vertical="center" wrapText="1"/>
    </xf>
    <xf numFmtId="0" fontId="27" fillId="13" borderId="3" xfId="9" applyFont="1" applyFill="1" applyBorder="1" applyAlignment="1">
      <alignment vertical="center" wrapText="1"/>
    </xf>
    <xf numFmtId="3" fontId="45" fillId="13" borderId="3" xfId="178" applyNumberFormat="1" applyFont="1" applyFill="1" applyBorder="1" applyAlignment="1">
      <alignment horizontal="right" vertical="center"/>
    </xf>
    <xf numFmtId="3" fontId="45" fillId="13" borderId="37" xfId="178" applyNumberFormat="1" applyFont="1" applyFill="1" applyBorder="1" applyAlignment="1">
      <alignment horizontal="right" vertical="center"/>
    </xf>
    <xf numFmtId="0" fontId="40" fillId="0" borderId="39" xfId="9" applyFont="1" applyBorder="1" applyAlignment="1">
      <alignment vertical="center" wrapText="1"/>
    </xf>
    <xf numFmtId="0" fontId="57" fillId="10" borderId="35" xfId="9" applyFont="1" applyFill="1" applyBorder="1" applyAlignment="1">
      <alignment horizontal="center" vertical="center" wrapText="1"/>
    </xf>
    <xf numFmtId="0" fontId="57" fillId="10" borderId="34" xfId="9" applyFont="1" applyFill="1" applyBorder="1" applyAlignment="1">
      <alignment vertical="center" wrapText="1"/>
    </xf>
    <xf numFmtId="0" fontId="57" fillId="10" borderId="33" xfId="9" applyFont="1" applyFill="1" applyBorder="1" applyAlignment="1">
      <alignment vertical="center" wrapText="1"/>
    </xf>
    <xf numFmtId="3" fontId="58" fillId="10" borderId="39" xfId="178" applyNumberFormat="1" applyFont="1" applyFill="1" applyBorder="1" applyAlignment="1">
      <alignment horizontal="right" vertical="center"/>
    </xf>
    <xf numFmtId="3" fontId="58" fillId="10" borderId="52" xfId="178" applyNumberFormat="1" applyFont="1" applyFill="1" applyBorder="1" applyAlignment="1">
      <alignment horizontal="right" vertical="center"/>
    </xf>
    <xf numFmtId="0" fontId="59" fillId="11" borderId="30" xfId="9" applyFont="1" applyFill="1" applyBorder="1" applyAlignment="1">
      <alignment horizontal="left" vertical="center" wrapText="1"/>
    </xf>
    <xf numFmtId="0" fontId="10" fillId="11" borderId="45" xfId="9" applyFont="1" applyFill="1" applyBorder="1" applyAlignment="1">
      <alignment horizontal="left" vertical="center" wrapText="1"/>
    </xf>
    <xf numFmtId="49" fontId="10" fillId="11" borderId="44" xfId="9" applyNumberFormat="1" applyFont="1" applyFill="1" applyBorder="1" applyAlignment="1">
      <alignment horizontal="center" vertical="center" wrapText="1"/>
    </xf>
    <xf numFmtId="3" fontId="61" fillId="11" borderId="44" xfId="178" applyNumberFormat="1" applyFont="1" applyFill="1" applyBorder="1" applyAlignment="1">
      <alignment horizontal="right" vertical="center"/>
    </xf>
    <xf numFmtId="3" fontId="10" fillId="11" borderId="46" xfId="178" applyNumberFormat="1" applyFont="1" applyFill="1" applyBorder="1" applyAlignment="1">
      <alignment horizontal="right" vertical="center"/>
    </xf>
    <xf numFmtId="3" fontId="10" fillId="11" borderId="47" xfId="178" applyNumberFormat="1" applyFont="1" applyFill="1" applyBorder="1" applyAlignment="1">
      <alignment horizontal="right" vertical="center"/>
    </xf>
    <xf numFmtId="0" fontId="10" fillId="11" borderId="44" xfId="9" applyFont="1" applyFill="1" applyBorder="1" applyAlignment="1">
      <alignment horizontal="center" vertical="center" wrapText="1"/>
    </xf>
    <xf numFmtId="3" fontId="10" fillId="11" borderId="44" xfId="178" applyNumberFormat="1" applyFont="1" applyFill="1" applyBorder="1" applyAlignment="1">
      <alignment horizontal="right" vertical="center"/>
    </xf>
    <xf numFmtId="3" fontId="10" fillId="11" borderId="58" xfId="178" applyNumberFormat="1" applyFont="1" applyFill="1" applyBorder="1" applyAlignment="1">
      <alignment horizontal="right" vertical="center"/>
    </xf>
    <xf numFmtId="0" fontId="59" fillId="11" borderId="46" xfId="9" applyFont="1" applyFill="1" applyBorder="1" applyAlignment="1">
      <alignment horizontal="left" vertical="center" wrapText="1"/>
    </xf>
    <xf numFmtId="0" fontId="59" fillId="0" borderId="48" xfId="9" applyFont="1" applyBorder="1" applyAlignment="1">
      <alignment vertical="center" wrapText="1"/>
    </xf>
    <xf numFmtId="0" fontId="10" fillId="0" borderId="19" xfId="9" applyFont="1" applyBorder="1" applyAlignment="1">
      <alignment horizontal="left" vertical="center" wrapText="1"/>
    </xf>
    <xf numFmtId="0" fontId="10" fillId="0" borderId="46" xfId="9" applyFont="1" applyBorder="1" applyAlignment="1">
      <alignment horizontal="center" vertical="center" wrapText="1"/>
    </xf>
    <xf numFmtId="10" fontId="58" fillId="0" borderId="22" xfId="177" applyNumberFormat="1" applyFont="1" applyFill="1" applyBorder="1" applyAlignment="1">
      <alignment horizontal="left" vertical="center"/>
    </xf>
    <xf numFmtId="0" fontId="59" fillId="0" borderId="41" xfId="9" applyFont="1" applyBorder="1" applyAlignment="1">
      <alignment vertical="center" wrapText="1"/>
    </xf>
    <xf numFmtId="0" fontId="59" fillId="0" borderId="35" xfId="9" applyFont="1" applyBorder="1" applyAlignment="1">
      <alignment vertical="center" wrapText="1"/>
    </xf>
    <xf numFmtId="0" fontId="10" fillId="0" borderId="29" xfId="178" applyFont="1" applyBorder="1" applyAlignment="1">
      <alignment horizontal="left" vertical="center" wrapText="1"/>
    </xf>
    <xf numFmtId="0" fontId="10" fillId="0" borderId="33" xfId="9" applyFont="1" applyBorder="1" applyAlignment="1">
      <alignment horizontal="center" vertical="center" wrapText="1"/>
    </xf>
    <xf numFmtId="3" fontId="61" fillId="0" borderId="33" xfId="179" applyNumberFormat="1" applyFont="1" applyFill="1" applyBorder="1" applyAlignment="1">
      <alignment horizontal="right" vertical="center"/>
    </xf>
    <xf numFmtId="0" fontId="71" fillId="10" borderId="35" xfId="9" applyFont="1" applyFill="1" applyBorder="1" applyAlignment="1">
      <alignment horizontal="center" vertical="center" wrapText="1"/>
    </xf>
    <xf numFmtId="0" fontId="71" fillId="10" borderId="34" xfId="9" applyFont="1" applyFill="1" applyBorder="1" applyAlignment="1">
      <alignment vertical="center" wrapText="1"/>
    </xf>
    <xf numFmtId="0" fontId="71" fillId="10" borderId="33" xfId="9" applyFont="1" applyFill="1" applyBorder="1" applyAlignment="1">
      <alignment vertical="center" wrapText="1"/>
    </xf>
    <xf numFmtId="3" fontId="58" fillId="10" borderId="39" xfId="179" applyNumberFormat="1" applyFont="1" applyFill="1" applyBorder="1" applyAlignment="1">
      <alignment horizontal="right" vertical="center"/>
    </xf>
    <xf numFmtId="3" fontId="10" fillId="10" borderId="46" xfId="178" applyNumberFormat="1" applyFont="1" applyFill="1" applyBorder="1" applyAlignment="1">
      <alignment horizontal="right" vertical="center"/>
    </xf>
    <xf numFmtId="3" fontId="10" fillId="10" borderId="47" xfId="178" applyNumberFormat="1" applyFont="1" applyFill="1" applyBorder="1" applyAlignment="1">
      <alignment horizontal="right" vertical="center"/>
    </xf>
    <xf numFmtId="3" fontId="38" fillId="11" borderId="51" xfId="179" applyNumberFormat="1" applyFont="1" applyFill="1" applyBorder="1" applyAlignment="1">
      <alignment horizontal="right" vertical="center"/>
    </xf>
    <xf numFmtId="3" fontId="38" fillId="11" borderId="39" xfId="179" applyNumberFormat="1" applyFont="1" applyFill="1" applyBorder="1" applyAlignment="1">
      <alignment horizontal="right" vertical="center"/>
    </xf>
    <xf numFmtId="0" fontId="72" fillId="0" borderId="57" xfId="9" applyFont="1" applyBorder="1" applyAlignment="1">
      <alignment vertical="center" wrapText="1"/>
    </xf>
    <xf numFmtId="0" fontId="37" fillId="0" borderId="55" xfId="178" applyFont="1" applyBorder="1" applyAlignment="1">
      <alignment horizontal="left" vertical="center" wrapText="1"/>
    </xf>
    <xf numFmtId="0" fontId="10" fillId="0" borderId="54" xfId="9" applyFont="1" applyBorder="1" applyAlignment="1">
      <alignment horizontal="center" vertical="center" wrapText="1"/>
    </xf>
    <xf numFmtId="10" fontId="58" fillId="0" borderId="48" xfId="177" applyNumberFormat="1" applyFont="1" applyFill="1" applyBorder="1" applyAlignment="1">
      <alignment horizontal="left" vertical="center"/>
    </xf>
    <xf numFmtId="0" fontId="59" fillId="11" borderId="39" xfId="9" applyFont="1" applyFill="1" applyBorder="1" applyAlignment="1">
      <alignment horizontal="left" vertical="center" wrapText="1"/>
    </xf>
    <xf numFmtId="3" fontId="38" fillId="11" borderId="52" xfId="178" applyNumberFormat="1" applyFont="1" applyFill="1" applyBorder="1" applyAlignment="1">
      <alignment horizontal="right" vertical="center"/>
    </xf>
    <xf numFmtId="3" fontId="38" fillId="11" borderId="47" xfId="179" applyNumberFormat="1" applyFont="1" applyFill="1" applyBorder="1" applyAlignment="1">
      <alignment horizontal="right" vertical="center"/>
    </xf>
    <xf numFmtId="0" fontId="10" fillId="2" borderId="47" xfId="9" applyFont="1" applyFill="1" applyBorder="1" applyAlignment="1">
      <alignment horizontal="left" vertical="center" wrapText="1"/>
    </xf>
    <xf numFmtId="0" fontId="10" fillId="0" borderId="34" xfId="9" applyFont="1" applyBorder="1" applyAlignment="1">
      <alignment horizontal="left" vertical="center" wrapText="1"/>
    </xf>
    <xf numFmtId="0" fontId="44" fillId="0" borderId="39" xfId="9" applyFont="1" applyBorder="1" applyAlignment="1">
      <alignment vertical="center" wrapText="1"/>
    </xf>
    <xf numFmtId="3" fontId="46" fillId="10" borderId="30" xfId="179" applyNumberFormat="1" applyFont="1" applyFill="1" applyBorder="1" applyAlignment="1">
      <alignment horizontal="right" vertical="center"/>
    </xf>
    <xf numFmtId="3" fontId="50" fillId="11" borderId="30" xfId="179" applyNumberFormat="1" applyFont="1" applyFill="1" applyBorder="1" applyAlignment="1">
      <alignment horizontal="right" vertical="center"/>
    </xf>
    <xf numFmtId="0" fontId="52" fillId="11" borderId="46" xfId="9" applyFont="1" applyFill="1" applyBorder="1" applyAlignment="1">
      <alignment horizontal="left" vertical="center" wrapText="1"/>
    </xf>
    <xf numFmtId="3" fontId="53" fillId="10" borderId="46" xfId="178" applyNumberFormat="1" applyFont="1" applyFill="1" applyBorder="1" applyAlignment="1">
      <alignment horizontal="right" vertical="center"/>
    </xf>
    <xf numFmtId="3" fontId="53" fillId="10" borderId="47" xfId="178" applyNumberFormat="1" applyFont="1" applyFill="1" applyBorder="1" applyAlignment="1">
      <alignment horizontal="right" vertical="center"/>
    </xf>
    <xf numFmtId="0" fontId="52" fillId="0" borderId="35" xfId="9" applyFont="1" applyBorder="1" applyAlignment="1">
      <alignment horizontal="left" vertical="center" wrapText="1"/>
    </xf>
    <xf numFmtId="0" fontId="53" fillId="0" borderId="29" xfId="9" applyFont="1" applyBorder="1" applyAlignment="1">
      <alignment horizontal="left" vertical="center" wrapText="1"/>
    </xf>
    <xf numFmtId="0" fontId="53" fillId="0" borderId="33" xfId="9" applyFont="1" applyBorder="1" applyAlignment="1">
      <alignment horizontal="center" vertical="center" wrapText="1"/>
    </xf>
    <xf numFmtId="0" fontId="66" fillId="10" borderId="34" xfId="9" applyFont="1" applyFill="1" applyBorder="1" applyAlignment="1">
      <alignment vertical="center" wrapText="1"/>
    </xf>
    <xf numFmtId="0" fontId="55" fillId="2" borderId="21" xfId="9" applyFont="1" applyFill="1" applyBorder="1" applyAlignment="1">
      <alignment vertical="center" wrapText="1"/>
    </xf>
    <xf numFmtId="0" fontId="55" fillId="2" borderId="0" xfId="9" applyFont="1" applyFill="1" applyAlignment="1">
      <alignment vertical="center" wrapText="1"/>
    </xf>
    <xf numFmtId="49" fontId="55" fillId="2" borderId="44" xfId="9" applyNumberFormat="1" applyFont="1" applyFill="1" applyBorder="1" applyAlignment="1">
      <alignment horizontal="center" vertical="center" wrapText="1"/>
    </xf>
    <xf numFmtId="3" fontId="51" fillId="0" borderId="44" xfId="179" applyNumberFormat="1" applyFont="1" applyFill="1" applyBorder="1" applyAlignment="1">
      <alignment horizontal="right" vertical="center"/>
    </xf>
    <xf numFmtId="3" fontId="50" fillId="11" borderId="44" xfId="179" applyNumberFormat="1" applyFont="1" applyFill="1" applyBorder="1" applyAlignment="1">
      <alignment horizontal="right" vertical="center"/>
    </xf>
    <xf numFmtId="0" fontId="31" fillId="0" borderId="56" xfId="178" applyBorder="1"/>
    <xf numFmtId="0" fontId="57" fillId="0" borderId="43" xfId="9" applyFont="1" applyBorder="1" applyAlignment="1">
      <alignment horizontal="center" vertical="center" wrapText="1"/>
    </xf>
    <xf numFmtId="0" fontId="10" fillId="0" borderId="21" xfId="9" applyFont="1" applyBorder="1" applyAlignment="1">
      <alignment vertical="center" wrapText="1"/>
    </xf>
    <xf numFmtId="0" fontId="57" fillId="0" borderId="49" xfId="9" applyFont="1" applyBorder="1" applyAlignment="1">
      <alignment horizontal="center" vertical="center" wrapText="1"/>
    </xf>
    <xf numFmtId="0" fontId="57" fillId="2" borderId="13" xfId="9" applyFont="1" applyFill="1" applyBorder="1" applyAlignment="1">
      <alignment vertical="center" wrapText="1"/>
    </xf>
    <xf numFmtId="0" fontId="10" fillId="0" borderId="7" xfId="9" applyFont="1" applyBorder="1" applyAlignment="1">
      <alignment vertical="center" wrapText="1"/>
    </xf>
    <xf numFmtId="0" fontId="10" fillId="2" borderId="46" xfId="9" quotePrefix="1" applyFont="1" applyFill="1" applyBorder="1" applyAlignment="1">
      <alignment horizontal="center" vertical="center" wrapText="1"/>
    </xf>
    <xf numFmtId="0" fontId="57" fillId="2" borderId="9" xfId="9" applyFont="1" applyFill="1" applyBorder="1" applyAlignment="1">
      <alignment vertical="center" wrapText="1"/>
    </xf>
    <xf numFmtId="0" fontId="57" fillId="2" borderId="39" xfId="9" applyFont="1" applyFill="1" applyBorder="1" applyAlignment="1">
      <alignment vertical="center" wrapText="1"/>
    </xf>
    <xf numFmtId="0" fontId="10" fillId="2" borderId="58" xfId="9" applyFont="1" applyFill="1" applyBorder="1" applyAlignment="1">
      <alignment vertical="center" wrapText="1"/>
    </xf>
    <xf numFmtId="0" fontId="10" fillId="2" borderId="44" xfId="9" quotePrefix="1" applyFont="1" applyFill="1" applyBorder="1" applyAlignment="1">
      <alignment horizontal="center" vertical="center" wrapText="1"/>
    </xf>
    <xf numFmtId="3" fontId="61" fillId="2" borderId="44" xfId="179" applyNumberFormat="1" applyFont="1" applyFill="1" applyBorder="1" applyAlignment="1">
      <alignment horizontal="right" vertical="center"/>
    </xf>
    <xf numFmtId="3" fontId="10" fillId="2" borderId="47" xfId="178" applyNumberFormat="1" applyFont="1" applyFill="1" applyBorder="1" applyAlignment="1">
      <alignment horizontal="right" vertical="center"/>
    </xf>
    <xf numFmtId="10" fontId="51" fillId="2" borderId="22" xfId="177" applyNumberFormat="1" applyFont="1" applyFill="1" applyBorder="1" applyAlignment="1">
      <alignment horizontal="left" vertical="center"/>
    </xf>
    <xf numFmtId="0" fontId="10" fillId="2" borderId="46" xfId="9" applyFont="1" applyFill="1" applyBorder="1" applyAlignment="1">
      <alignment vertical="center" wrapText="1"/>
    </xf>
    <xf numFmtId="3" fontId="61" fillId="2" borderId="46" xfId="179" applyNumberFormat="1" applyFont="1" applyFill="1" applyBorder="1" applyAlignment="1">
      <alignment horizontal="right" vertical="center"/>
    </xf>
    <xf numFmtId="0" fontId="57" fillId="2" borderId="42" xfId="9" applyFont="1" applyFill="1" applyBorder="1" applyAlignment="1">
      <alignment vertical="center" wrapText="1"/>
    </xf>
    <xf numFmtId="0" fontId="10" fillId="2" borderId="41" xfId="9" applyFont="1" applyFill="1" applyBorder="1" applyAlignment="1">
      <alignment vertical="center" wrapText="1"/>
    </xf>
    <xf numFmtId="0" fontId="10" fillId="2" borderId="39" xfId="9" applyFont="1" applyFill="1" applyBorder="1" applyAlignment="1">
      <alignment horizontal="center" vertical="center" wrapText="1"/>
    </xf>
    <xf numFmtId="3" fontId="61" fillId="2" borderId="39" xfId="179" applyNumberFormat="1" applyFont="1" applyFill="1" applyBorder="1" applyAlignment="1">
      <alignment horizontal="right" vertical="center"/>
    </xf>
    <xf numFmtId="10" fontId="51" fillId="2" borderId="43" xfId="177" applyNumberFormat="1" applyFont="1" applyFill="1" applyBorder="1" applyAlignment="1">
      <alignment horizontal="left" vertical="center"/>
    </xf>
    <xf numFmtId="0" fontId="54" fillId="2" borderId="11" xfId="9" applyFont="1" applyFill="1" applyBorder="1" applyAlignment="1">
      <alignment vertical="center" wrapText="1"/>
    </xf>
    <xf numFmtId="0" fontId="53" fillId="0" borderId="5" xfId="9" applyFont="1" applyBorder="1" applyAlignment="1">
      <alignment vertical="center" wrapText="1"/>
    </xf>
    <xf numFmtId="0" fontId="53" fillId="2" borderId="51" xfId="9" applyFont="1" applyFill="1" applyBorder="1" applyAlignment="1">
      <alignment horizontal="center" vertical="center" wrapText="1"/>
    </xf>
    <xf numFmtId="3" fontId="51" fillId="0" borderId="51" xfId="179" applyNumberFormat="1" applyFont="1" applyFill="1" applyBorder="1" applyAlignment="1">
      <alignment horizontal="right" vertical="center"/>
    </xf>
    <xf numFmtId="0" fontId="44" fillId="0" borderId="33" xfId="9" applyFont="1" applyBorder="1" applyAlignment="1">
      <alignment vertical="center" wrapText="1"/>
    </xf>
    <xf numFmtId="0" fontId="63" fillId="2" borderId="33" xfId="9" applyFont="1" applyFill="1" applyBorder="1" applyAlignment="1">
      <alignment vertical="center" wrapText="1"/>
    </xf>
    <xf numFmtId="0" fontId="54" fillId="2" borderId="29" xfId="9" applyFont="1" applyFill="1" applyBorder="1" applyAlignment="1">
      <alignment horizontal="center" vertical="center" wrapText="1"/>
    </xf>
    <xf numFmtId="0" fontId="53" fillId="0" borderId="64" xfId="9" applyFont="1" applyBorder="1" applyAlignment="1">
      <alignment vertical="center" wrapText="1"/>
    </xf>
    <xf numFmtId="0" fontId="53" fillId="2" borderId="33" xfId="9" applyFont="1" applyFill="1" applyBorder="1" applyAlignment="1">
      <alignment horizontal="center" vertical="center" wrapText="1"/>
    </xf>
    <xf numFmtId="0" fontId="40" fillId="2" borderId="30" xfId="9" applyFont="1" applyFill="1" applyBorder="1" applyAlignment="1">
      <alignment horizontal="center" vertical="center" wrapText="1"/>
    </xf>
    <xf numFmtId="0" fontId="40" fillId="2" borderId="39" xfId="9" applyFont="1" applyFill="1" applyBorder="1" applyAlignment="1">
      <alignment vertical="center" wrapText="1"/>
    </xf>
    <xf numFmtId="0" fontId="40" fillId="2" borderId="47" xfId="9" applyFont="1" applyFill="1" applyBorder="1" applyAlignment="1">
      <alignment vertical="center" wrapText="1"/>
    </xf>
    <xf numFmtId="0" fontId="10" fillId="0" borderId="46" xfId="9" applyFont="1" applyBorder="1" applyAlignment="1">
      <alignment vertical="center" wrapText="1"/>
    </xf>
    <xf numFmtId="0" fontId="63" fillId="2" borderId="39" xfId="9" applyFont="1" applyFill="1" applyBorder="1" applyAlignment="1">
      <alignment vertical="center" wrapText="1"/>
    </xf>
    <xf numFmtId="0" fontId="63" fillId="2" borderId="6" xfId="9" applyFont="1" applyFill="1" applyBorder="1" applyAlignment="1">
      <alignment vertical="center" wrapText="1"/>
    </xf>
    <xf numFmtId="0" fontId="55" fillId="0" borderId="7" xfId="9" applyFont="1" applyBorder="1" applyAlignment="1">
      <alignment vertical="center" wrapText="1"/>
    </xf>
    <xf numFmtId="0" fontId="55" fillId="2" borderId="46" xfId="9" applyFont="1" applyFill="1" applyBorder="1" applyAlignment="1">
      <alignment horizontal="center" vertical="center" wrapText="1"/>
    </xf>
    <xf numFmtId="3" fontId="31" fillId="0" borderId="39" xfId="179" applyNumberFormat="1" applyFont="1" applyBorder="1"/>
    <xf numFmtId="0" fontId="60" fillId="11" borderId="54" xfId="9" applyFont="1" applyFill="1" applyBorder="1" applyAlignment="1">
      <alignment horizontal="left" vertical="center" wrapText="1"/>
    </xf>
    <xf numFmtId="0" fontId="57" fillId="10" borderId="33" xfId="9" applyFont="1" applyFill="1" applyBorder="1" applyAlignment="1">
      <alignment horizontal="center" vertical="center" wrapText="1"/>
    </xf>
    <xf numFmtId="3" fontId="38" fillId="0" borderId="39" xfId="179" applyNumberFormat="1" applyFont="1" applyFill="1" applyBorder="1" applyAlignment="1">
      <alignment horizontal="right" vertical="center"/>
    </xf>
    <xf numFmtId="0" fontId="10" fillId="0" borderId="46" xfId="9" applyFont="1" applyBorder="1" applyAlignment="1">
      <alignment horizontal="left" vertical="center" wrapText="1"/>
    </xf>
    <xf numFmtId="0" fontId="59" fillId="0" borderId="41" xfId="9" applyFont="1" applyBorder="1" applyAlignment="1">
      <alignment horizontal="center" vertical="center" wrapText="1"/>
    </xf>
    <xf numFmtId="49" fontId="10" fillId="2" borderId="39" xfId="9" applyNumberFormat="1" applyFont="1" applyFill="1" applyBorder="1" applyAlignment="1">
      <alignment horizontal="center" vertical="center" wrapText="1"/>
    </xf>
    <xf numFmtId="0" fontId="63" fillId="2" borderId="30" xfId="9" applyFont="1" applyFill="1" applyBorder="1" applyAlignment="1">
      <alignment vertical="center" wrapText="1"/>
    </xf>
    <xf numFmtId="0" fontId="59" fillId="2" borderId="44" xfId="9" applyFont="1" applyFill="1" applyBorder="1" applyAlignment="1">
      <alignment vertical="center" wrapText="1"/>
    </xf>
    <xf numFmtId="0" fontId="10" fillId="0" borderId="42" xfId="9" applyFont="1" applyBorder="1" applyAlignment="1">
      <alignment horizontal="left" vertical="center" wrapText="1"/>
    </xf>
    <xf numFmtId="0" fontId="59" fillId="2" borderId="39" xfId="9" applyFont="1" applyFill="1" applyBorder="1" applyAlignment="1">
      <alignment vertical="center" wrapText="1"/>
    </xf>
    <xf numFmtId="0" fontId="10" fillId="0" borderId="55" xfId="9" applyFont="1" applyBorder="1" applyAlignment="1">
      <alignment horizontal="left" vertical="center" wrapText="1"/>
    </xf>
    <xf numFmtId="3" fontId="61" fillId="0" borderId="54" xfId="179" applyNumberFormat="1" applyFont="1" applyFill="1" applyBorder="1" applyAlignment="1">
      <alignment horizontal="right" vertical="center"/>
    </xf>
    <xf numFmtId="0" fontId="10" fillId="0" borderId="47" xfId="9" applyFont="1" applyBorder="1" applyAlignment="1">
      <alignment horizontal="left" vertical="center" wrapText="1"/>
    </xf>
    <xf numFmtId="0" fontId="10" fillId="0" borderId="52" xfId="9" applyFont="1" applyBorder="1" applyAlignment="1">
      <alignment horizontal="left" vertical="center" wrapText="1"/>
    </xf>
    <xf numFmtId="0" fontId="10" fillId="0" borderId="39" xfId="9" applyFont="1" applyBorder="1" applyAlignment="1">
      <alignment horizontal="center" vertical="center" wrapText="1"/>
    </xf>
    <xf numFmtId="0" fontId="10" fillId="0" borderId="58" xfId="9" applyFont="1" applyBorder="1" applyAlignment="1">
      <alignment horizontal="left" vertical="center" wrapText="1"/>
    </xf>
    <xf numFmtId="10" fontId="61" fillId="0" borderId="48" xfId="177" applyNumberFormat="1" applyFont="1" applyFill="1" applyBorder="1" applyAlignment="1">
      <alignment horizontal="left" vertical="center"/>
    </xf>
    <xf numFmtId="49" fontId="10" fillId="0" borderId="41" xfId="9" applyNumberFormat="1" applyFont="1" applyBorder="1" applyAlignment="1">
      <alignment horizontal="center" vertical="center" wrapText="1"/>
    </xf>
    <xf numFmtId="0" fontId="10" fillId="0" borderId="47" xfId="9" quotePrefix="1" applyFont="1" applyBorder="1" applyAlignment="1">
      <alignment vertical="center" wrapText="1"/>
    </xf>
    <xf numFmtId="49" fontId="10" fillId="0" borderId="46" xfId="9" applyNumberFormat="1" applyFont="1" applyBorder="1" applyAlignment="1">
      <alignment horizontal="center" vertical="center" wrapText="1"/>
    </xf>
    <xf numFmtId="0" fontId="59" fillId="2" borderId="41" xfId="9" applyFont="1" applyFill="1" applyBorder="1" applyAlignment="1">
      <alignment vertical="center" wrapText="1"/>
    </xf>
    <xf numFmtId="0" fontId="10" fillId="0" borderId="52" xfId="9" quotePrefix="1" applyFont="1" applyBorder="1" applyAlignment="1">
      <alignment horizontal="left" vertical="center" wrapText="1"/>
    </xf>
    <xf numFmtId="3" fontId="61" fillId="0" borderId="39" xfId="179" applyNumberFormat="1" applyFont="1" applyFill="1" applyBorder="1" applyAlignment="1">
      <alignment horizontal="right" vertical="center"/>
    </xf>
    <xf numFmtId="0" fontId="59" fillId="11" borderId="46" xfId="9" applyFont="1" applyFill="1" applyBorder="1" applyAlignment="1">
      <alignment horizontal="center" vertical="center" wrapText="1"/>
    </xf>
    <xf numFmtId="0" fontId="10" fillId="2" borderId="21" xfId="9" quotePrefix="1" applyFont="1" applyFill="1" applyBorder="1" applyAlignment="1">
      <alignment horizontal="left" vertical="center" wrapText="1"/>
    </xf>
    <xf numFmtId="0" fontId="10" fillId="2" borderId="41" xfId="9" applyFont="1" applyFill="1" applyBorder="1" applyAlignment="1">
      <alignment horizontal="center" vertical="center" wrapText="1"/>
    </xf>
    <xf numFmtId="0" fontId="10" fillId="0" borderId="65" xfId="9" quotePrefix="1" applyFont="1" applyBorder="1" applyAlignment="1">
      <alignment vertical="center" wrapText="1"/>
    </xf>
    <xf numFmtId="0" fontId="10" fillId="0" borderId="55" xfId="9" quotePrefix="1" applyFont="1" applyBorder="1" applyAlignment="1">
      <alignment horizontal="left" vertical="center" wrapText="1"/>
    </xf>
    <xf numFmtId="0" fontId="10" fillId="2" borderId="54" xfId="9" applyFont="1" applyFill="1" applyBorder="1" applyAlignment="1">
      <alignment horizontal="center" vertical="center" wrapText="1"/>
    </xf>
    <xf numFmtId="3" fontId="10" fillId="0" borderId="54" xfId="178" applyNumberFormat="1" applyFont="1" applyBorder="1" applyAlignment="1">
      <alignment horizontal="right" vertical="center"/>
    </xf>
    <xf numFmtId="3" fontId="10" fillId="0" borderId="55" xfId="178" applyNumberFormat="1" applyFont="1" applyBorder="1" applyAlignment="1">
      <alignment horizontal="right" vertical="center"/>
    </xf>
    <xf numFmtId="10" fontId="58" fillId="0" borderId="57" xfId="177" applyNumberFormat="1" applyFont="1" applyFill="1" applyBorder="1" applyAlignment="1">
      <alignment horizontal="left" vertical="center"/>
    </xf>
    <xf numFmtId="0" fontId="44" fillId="2" borderId="30" xfId="9" applyFont="1" applyFill="1" applyBorder="1" applyAlignment="1">
      <alignment vertical="center" wrapText="1"/>
    </xf>
    <xf numFmtId="0" fontId="54" fillId="10" borderId="36" xfId="9" applyFont="1" applyFill="1" applyBorder="1" applyAlignment="1">
      <alignment horizontal="center" vertical="center" wrapText="1"/>
    </xf>
    <xf numFmtId="0" fontId="54" fillId="10" borderId="37" xfId="9" applyFont="1" applyFill="1" applyBorder="1" applyAlignment="1">
      <alignment vertical="center" wrapText="1"/>
    </xf>
    <xf numFmtId="0" fontId="54" fillId="10" borderId="3" xfId="9" applyFont="1" applyFill="1" applyBorder="1" applyAlignment="1">
      <alignment horizontal="left" vertical="center" wrapText="1"/>
    </xf>
    <xf numFmtId="3" fontId="46" fillId="10" borderId="3" xfId="178" applyNumberFormat="1" applyFont="1" applyFill="1" applyBorder="1" applyAlignment="1">
      <alignment horizontal="right" vertical="center"/>
    </xf>
    <xf numFmtId="3" fontId="46" fillId="10" borderId="37" xfId="178" applyNumberFormat="1" applyFont="1" applyFill="1" applyBorder="1" applyAlignment="1">
      <alignment horizontal="right" vertical="center"/>
    </xf>
    <xf numFmtId="0" fontId="44" fillId="2" borderId="39" xfId="9" applyFont="1" applyFill="1" applyBorder="1" applyAlignment="1">
      <alignment vertical="center" wrapText="1"/>
    </xf>
    <xf numFmtId="0" fontId="53" fillId="0" borderId="19" xfId="9" quotePrefix="1" applyFont="1" applyBorder="1" applyAlignment="1">
      <alignment vertical="center" wrapText="1"/>
    </xf>
    <xf numFmtId="49" fontId="53" fillId="2" borderId="46" xfId="9" applyNumberFormat="1" applyFont="1" applyFill="1" applyBorder="1" applyAlignment="1">
      <alignment horizontal="center" vertical="center" wrapText="1"/>
    </xf>
    <xf numFmtId="0" fontId="52" fillId="2" borderId="42" xfId="9" applyFont="1" applyFill="1" applyBorder="1" applyAlignment="1">
      <alignment horizontal="center" vertical="center" wrapText="1"/>
    </xf>
    <xf numFmtId="0" fontId="44" fillId="2" borderId="33" xfId="9" applyFont="1" applyFill="1" applyBorder="1" applyAlignment="1">
      <alignment vertical="center" wrapText="1"/>
    </xf>
    <xf numFmtId="3" fontId="50" fillId="11" borderId="33" xfId="178" applyNumberFormat="1" applyFont="1" applyFill="1" applyBorder="1" applyAlignment="1">
      <alignment horizontal="right" vertical="center"/>
    </xf>
    <xf numFmtId="3" fontId="52" fillId="11" borderId="55" xfId="178" applyNumberFormat="1" applyFont="1" applyFill="1" applyBorder="1" applyAlignment="1">
      <alignment horizontal="right" vertical="center"/>
    </xf>
    <xf numFmtId="0" fontId="57" fillId="10" borderId="3" xfId="9" applyFont="1" applyFill="1" applyBorder="1" applyAlignment="1">
      <alignment horizontal="left" vertical="center" wrapText="1"/>
    </xf>
    <xf numFmtId="0" fontId="59" fillId="2" borderId="48" xfId="9" applyFont="1" applyFill="1" applyBorder="1" applyAlignment="1">
      <alignment horizontal="center" vertical="center" wrapText="1"/>
    </xf>
    <xf numFmtId="0" fontId="10" fillId="0" borderId="47" xfId="9" applyFont="1" applyBorder="1" applyAlignment="1">
      <alignment vertical="center" wrapText="1"/>
    </xf>
    <xf numFmtId="0" fontId="59" fillId="2" borderId="41" xfId="9" applyFont="1" applyFill="1" applyBorder="1" applyAlignment="1">
      <alignment horizontal="center" vertical="center" wrapText="1"/>
    </xf>
    <xf numFmtId="0" fontId="47" fillId="10" borderId="33" xfId="9" applyFont="1" applyFill="1" applyBorder="1" applyAlignment="1">
      <alignment vertical="center" wrapText="1"/>
    </xf>
    <xf numFmtId="0" fontId="48" fillId="2" borderId="49" xfId="9" applyFont="1" applyFill="1" applyBorder="1" applyAlignment="1">
      <alignment vertical="center" wrapText="1"/>
    </xf>
    <xf numFmtId="0" fontId="15" fillId="0" borderId="19" xfId="9" applyFont="1" applyBorder="1" applyAlignment="1">
      <alignment horizontal="left" vertical="center" wrapText="1"/>
    </xf>
    <xf numFmtId="49" fontId="15" fillId="2" borderId="46" xfId="9" applyNumberFormat="1" applyFont="1" applyFill="1" applyBorder="1" applyAlignment="1">
      <alignment horizontal="center" vertical="center" wrapText="1"/>
    </xf>
    <xf numFmtId="49" fontId="15" fillId="2" borderId="44" xfId="9" applyNumberFormat="1" applyFont="1" applyFill="1" applyBorder="1" applyAlignment="1">
      <alignment horizontal="center" vertical="center" wrapText="1"/>
    </xf>
    <xf numFmtId="0" fontId="15" fillId="0" borderId="19" xfId="9" applyFont="1" applyBorder="1" applyAlignment="1">
      <alignment vertical="center" wrapText="1"/>
    </xf>
    <xf numFmtId="0" fontId="15" fillId="0" borderId="45" xfId="9" applyFont="1" applyBorder="1" applyAlignment="1">
      <alignment horizontal="left" vertical="center" wrapText="1"/>
    </xf>
    <xf numFmtId="0" fontId="44" fillId="2" borderId="52" xfId="9" applyFont="1" applyFill="1" applyBorder="1" applyAlignment="1">
      <alignment vertical="center" wrapText="1"/>
    </xf>
    <xf numFmtId="10" fontId="49" fillId="11" borderId="61" xfId="177" applyNumberFormat="1" applyFont="1" applyFill="1" applyBorder="1" applyAlignment="1">
      <alignment horizontal="left" vertical="center"/>
    </xf>
    <xf numFmtId="0" fontId="48" fillId="2" borderId="20" xfId="9" applyFont="1" applyFill="1" applyBorder="1" applyAlignment="1">
      <alignment vertical="center" wrapText="1"/>
    </xf>
    <xf numFmtId="0" fontId="15" fillId="2" borderId="46" xfId="9" quotePrefix="1" applyFont="1" applyFill="1" applyBorder="1" applyAlignment="1">
      <alignment horizontal="center" vertical="center" wrapText="1"/>
    </xf>
    <xf numFmtId="3" fontId="13" fillId="0" borderId="19" xfId="179" applyNumberFormat="1" applyFont="1" applyFill="1" applyBorder="1" applyAlignment="1">
      <alignment horizontal="right" vertical="center"/>
    </xf>
    <xf numFmtId="3" fontId="15" fillId="0" borderId="19" xfId="178" applyNumberFormat="1" applyFont="1" applyBorder="1" applyAlignment="1">
      <alignment horizontal="right" vertical="center"/>
    </xf>
    <xf numFmtId="0" fontId="15" fillId="0" borderId="19" xfId="180" applyFont="1" applyBorder="1" applyAlignment="1">
      <alignment vertical="center" wrapText="1"/>
    </xf>
    <xf numFmtId="0" fontId="15" fillId="0" borderId="21" xfId="180" applyFont="1" applyBorder="1" applyAlignment="1">
      <alignment horizontal="left" vertical="center" wrapText="1"/>
    </xf>
    <xf numFmtId="3" fontId="13" fillId="0" borderId="21" xfId="179" applyNumberFormat="1" applyFont="1" applyFill="1" applyBorder="1" applyAlignment="1">
      <alignment horizontal="right" vertical="center"/>
    </xf>
    <xf numFmtId="3" fontId="15" fillId="0" borderId="21" xfId="178" applyNumberFormat="1" applyFont="1" applyBorder="1" applyAlignment="1">
      <alignment horizontal="right" vertical="center"/>
    </xf>
    <xf numFmtId="0" fontId="44" fillId="2" borderId="34" xfId="9" applyFont="1" applyFill="1" applyBorder="1" applyAlignment="1">
      <alignment vertical="center" wrapText="1"/>
    </xf>
    <xf numFmtId="0" fontId="15" fillId="0" borderId="29" xfId="9" quotePrefix="1" applyFont="1" applyBorder="1" applyAlignment="1">
      <alignment vertical="center" wrapText="1"/>
    </xf>
    <xf numFmtId="0" fontId="15" fillId="2" borderId="33" xfId="9" applyFont="1" applyFill="1" applyBorder="1" applyAlignment="1">
      <alignment horizontal="center" vertical="center" wrapText="1"/>
    </xf>
    <xf numFmtId="3" fontId="13" fillId="0" borderId="29" xfId="179" applyNumberFormat="1" applyFont="1" applyFill="1" applyBorder="1" applyAlignment="1">
      <alignment horizontal="right" vertical="center"/>
    </xf>
    <xf numFmtId="3" fontId="15" fillId="0" borderId="29" xfId="178" applyNumberFormat="1" applyFont="1" applyBorder="1" applyAlignment="1">
      <alignment horizontal="right" vertical="center"/>
    </xf>
    <xf numFmtId="0" fontId="44" fillId="2" borderId="31" xfId="9" applyFont="1" applyFill="1" applyBorder="1" applyAlignment="1">
      <alignment vertical="center" wrapText="1"/>
    </xf>
    <xf numFmtId="0" fontId="15" fillId="0" borderId="56" xfId="9" quotePrefix="1" applyFont="1" applyBorder="1" applyAlignment="1">
      <alignment vertical="center" wrapText="1"/>
    </xf>
    <xf numFmtId="3" fontId="13" fillId="0" borderId="40" xfId="179" applyNumberFormat="1" applyFont="1" applyFill="1" applyBorder="1" applyAlignment="1">
      <alignment horizontal="right" vertical="center"/>
    </xf>
    <xf numFmtId="3" fontId="15" fillId="0" borderId="40" xfId="178" applyNumberFormat="1" applyFont="1" applyBorder="1" applyAlignment="1">
      <alignment horizontal="right" vertical="center"/>
    </xf>
    <xf numFmtId="0" fontId="15" fillId="0" borderId="45" xfId="9" quotePrefix="1" applyFont="1" applyBorder="1" applyAlignment="1">
      <alignment vertical="center" wrapText="1"/>
    </xf>
    <xf numFmtId="3" fontId="15" fillId="2" borderId="19" xfId="178" applyNumberFormat="1" applyFont="1" applyFill="1" applyBorder="1" applyAlignment="1">
      <alignment horizontal="right" vertical="center"/>
    </xf>
    <xf numFmtId="3" fontId="13" fillId="0" borderId="45" xfId="179" applyNumberFormat="1" applyFont="1" applyFill="1" applyBorder="1" applyAlignment="1">
      <alignment horizontal="right" vertical="center"/>
    </xf>
    <xf numFmtId="0" fontId="15" fillId="0" borderId="19" xfId="9" quotePrefix="1" applyFont="1" applyBorder="1" applyAlignment="1">
      <alignment vertical="center" wrapText="1"/>
    </xf>
    <xf numFmtId="3" fontId="48" fillId="11" borderId="45" xfId="178" applyNumberFormat="1" applyFont="1" applyFill="1" applyBorder="1" applyAlignment="1">
      <alignment horizontal="right" vertical="center"/>
    </xf>
    <xf numFmtId="0" fontId="48" fillId="2" borderId="55" xfId="9" applyFont="1" applyFill="1" applyBorder="1" applyAlignment="1">
      <alignment horizontal="left" vertical="center" wrapText="1"/>
    </xf>
    <xf numFmtId="3" fontId="13" fillId="0" borderId="53" xfId="179" applyNumberFormat="1" applyFont="1" applyFill="1" applyBorder="1" applyAlignment="1">
      <alignment horizontal="right" vertical="center"/>
    </xf>
    <xf numFmtId="3" fontId="15" fillId="2" borderId="54" xfId="178" applyNumberFormat="1" applyFont="1" applyFill="1" applyBorder="1" applyAlignment="1">
      <alignment horizontal="right" vertical="center"/>
    </xf>
    <xf numFmtId="3" fontId="15" fillId="2" borderId="53" xfId="178" applyNumberFormat="1" applyFont="1" applyFill="1" applyBorder="1" applyAlignment="1">
      <alignment horizontal="right" vertical="center"/>
    </xf>
    <xf numFmtId="10" fontId="45" fillId="0" borderId="57" xfId="177" applyNumberFormat="1" applyFont="1" applyFill="1" applyBorder="1" applyAlignment="1">
      <alignment horizontal="left" vertical="center"/>
    </xf>
    <xf numFmtId="0" fontId="44" fillId="5" borderId="33" xfId="178" applyFont="1" applyFill="1" applyBorder="1" applyAlignment="1">
      <alignment horizontal="center"/>
    </xf>
    <xf numFmtId="0" fontId="63" fillId="5" borderId="33" xfId="9" applyFont="1" applyFill="1" applyBorder="1" applyAlignment="1">
      <alignment horizontal="center" vertical="center" wrapText="1"/>
    </xf>
    <xf numFmtId="0" fontId="63" fillId="5" borderId="34" xfId="9" applyFont="1" applyFill="1" applyBorder="1" applyAlignment="1">
      <alignment vertical="center" wrapText="1"/>
    </xf>
    <xf numFmtId="0" fontId="63" fillId="5" borderId="33" xfId="9" applyFont="1" applyFill="1" applyBorder="1" applyAlignment="1">
      <alignment vertical="center" wrapText="1"/>
    </xf>
    <xf numFmtId="3" fontId="46" fillId="5" borderId="33" xfId="179" applyNumberFormat="1" applyFont="1" applyFill="1" applyBorder="1" applyAlignment="1">
      <alignment horizontal="right" vertical="center"/>
    </xf>
    <xf numFmtId="3" fontId="53" fillId="2" borderId="33" xfId="178" applyNumberFormat="1" applyFont="1" applyFill="1" applyBorder="1" applyAlignment="1">
      <alignment horizontal="right" vertical="center"/>
    </xf>
    <xf numFmtId="3" fontId="53" fillId="2" borderId="34" xfId="178" applyNumberFormat="1" applyFont="1" applyFill="1" applyBorder="1" applyAlignment="1">
      <alignment horizontal="right" vertical="center"/>
    </xf>
    <xf numFmtId="10" fontId="46" fillId="0" borderId="35" xfId="177" applyNumberFormat="1" applyFont="1" applyFill="1" applyBorder="1" applyAlignment="1">
      <alignment horizontal="left" vertical="center"/>
    </xf>
    <xf numFmtId="0" fontId="63" fillId="10" borderId="34" xfId="9" applyFont="1" applyFill="1" applyBorder="1" applyAlignment="1">
      <alignment horizontal="center" vertical="center" wrapText="1"/>
    </xf>
    <xf numFmtId="0" fontId="63" fillId="10" borderId="33" xfId="9" applyFont="1" applyFill="1" applyBorder="1" applyAlignment="1">
      <alignment vertical="center" wrapText="1"/>
    </xf>
    <xf numFmtId="3" fontId="46" fillId="10" borderId="33" xfId="179" applyNumberFormat="1" applyFont="1" applyFill="1" applyBorder="1" applyAlignment="1">
      <alignment horizontal="right" vertical="center"/>
    </xf>
    <xf numFmtId="3" fontId="53" fillId="2" borderId="41" xfId="178" applyNumberFormat="1" applyFont="1" applyFill="1" applyBorder="1" applyAlignment="1">
      <alignment horizontal="right" vertical="center"/>
    </xf>
    <xf numFmtId="3" fontId="53" fillId="2" borderId="42" xfId="178" applyNumberFormat="1" applyFont="1" applyFill="1" applyBorder="1" applyAlignment="1">
      <alignment horizontal="right" vertical="center"/>
    </xf>
    <xf numFmtId="3" fontId="50" fillId="11" borderId="51" xfId="179" applyNumberFormat="1" applyFont="1" applyFill="1" applyBorder="1" applyAlignment="1">
      <alignment horizontal="right" vertical="center"/>
    </xf>
    <xf numFmtId="3" fontId="53" fillId="2" borderId="46" xfId="178" applyNumberFormat="1" applyFont="1" applyFill="1" applyBorder="1" applyAlignment="1">
      <alignment horizontal="right" vertical="center"/>
    </xf>
    <xf numFmtId="3" fontId="53" fillId="2" borderId="47" xfId="178" applyNumberFormat="1" applyFont="1" applyFill="1" applyBorder="1" applyAlignment="1">
      <alignment horizontal="right" vertical="center"/>
    </xf>
    <xf numFmtId="0" fontId="60" fillId="2" borderId="39" xfId="9" applyFont="1" applyFill="1" applyBorder="1" applyAlignment="1">
      <alignment horizontal="left" vertical="center" wrapText="1"/>
    </xf>
    <xf numFmtId="0" fontId="55" fillId="2" borderId="52" xfId="9" quotePrefix="1" applyFont="1" applyFill="1" applyBorder="1" applyAlignment="1">
      <alignment horizontal="left" vertical="center" wrapText="1"/>
    </xf>
    <xf numFmtId="0" fontId="53" fillId="2" borderId="39" xfId="9" applyFont="1" applyFill="1" applyBorder="1" applyAlignment="1">
      <alignment horizontal="center" vertical="center" wrapText="1"/>
    </xf>
    <xf numFmtId="0" fontId="40" fillId="5" borderId="3" xfId="178" applyFont="1" applyFill="1" applyBorder="1" applyAlignment="1">
      <alignment horizontal="center"/>
    </xf>
    <xf numFmtId="3" fontId="58" fillId="5" borderId="37" xfId="178" applyNumberFormat="1" applyFont="1" applyFill="1" applyBorder="1" applyAlignment="1">
      <alignment horizontal="right" vertical="center"/>
    </xf>
    <xf numFmtId="10" fontId="46" fillId="5" borderId="22" xfId="177" applyNumberFormat="1" applyFont="1" applyFill="1" applyBorder="1" applyAlignment="1">
      <alignment horizontal="left" vertical="center"/>
    </xf>
    <xf numFmtId="0" fontId="40" fillId="10" borderId="37" xfId="9" applyFont="1" applyFill="1" applyBorder="1" applyAlignment="1">
      <alignment horizontal="center" vertical="center" wrapText="1"/>
    </xf>
    <xf numFmtId="0" fontId="40" fillId="10" borderId="3" xfId="9" applyFont="1" applyFill="1" applyBorder="1" applyAlignment="1">
      <alignment vertical="center" wrapText="1"/>
    </xf>
    <xf numFmtId="10" fontId="46" fillId="10" borderId="35" xfId="177" applyNumberFormat="1" applyFont="1" applyFill="1" applyBorder="1" applyAlignment="1">
      <alignment horizontal="left" vertical="center"/>
    </xf>
    <xf numFmtId="0" fontId="59" fillId="2" borderId="39" xfId="9" applyFont="1" applyFill="1" applyBorder="1" applyAlignment="1">
      <alignment horizontal="center" vertical="center" wrapText="1"/>
    </xf>
    <xf numFmtId="0" fontId="10" fillId="0" borderId="47" xfId="9" quotePrefix="1" applyFont="1" applyBorder="1" applyAlignment="1">
      <alignment horizontal="left" vertical="center" wrapText="1"/>
    </xf>
    <xf numFmtId="49" fontId="10" fillId="2" borderId="46" xfId="9" quotePrefix="1" applyNumberFormat="1" applyFont="1" applyFill="1" applyBorder="1" applyAlignment="1">
      <alignment horizontal="center" vertical="center" wrapText="1"/>
    </xf>
    <xf numFmtId="3" fontId="61" fillId="0" borderId="46" xfId="178" applyNumberFormat="1" applyFont="1" applyBorder="1" applyAlignment="1">
      <alignment horizontal="right" vertical="center"/>
    </xf>
    <xf numFmtId="0" fontId="10" fillId="0" borderId="21" xfId="180" applyFont="1" applyBorder="1" applyAlignment="1">
      <alignment horizontal="left" vertical="center" wrapText="1"/>
    </xf>
    <xf numFmtId="3" fontId="10" fillId="12" borderId="46" xfId="178" applyNumberFormat="1" applyFont="1" applyFill="1" applyBorder="1" applyAlignment="1">
      <alignment horizontal="right" vertical="center"/>
    </xf>
    <xf numFmtId="3" fontId="10" fillId="12" borderId="47" xfId="178" applyNumberFormat="1" applyFont="1" applyFill="1" applyBorder="1" applyAlignment="1">
      <alignment horizontal="right" vertical="center"/>
    </xf>
    <xf numFmtId="0" fontId="40" fillId="0" borderId="33" xfId="9" applyFont="1" applyBorder="1" applyAlignment="1">
      <alignment vertical="center" wrapText="1"/>
    </xf>
    <xf numFmtId="10" fontId="46" fillId="11" borderId="48" xfId="177" applyNumberFormat="1" applyFont="1" applyFill="1" applyBorder="1" applyAlignment="1">
      <alignment horizontal="left" vertical="center"/>
    </xf>
    <xf numFmtId="0" fontId="69" fillId="0" borderId="30" xfId="9" applyFont="1" applyBorder="1" applyAlignment="1">
      <alignment vertical="center" wrapText="1"/>
    </xf>
    <xf numFmtId="0" fontId="69" fillId="0" borderId="39" xfId="9" applyFont="1" applyBorder="1" applyAlignment="1">
      <alignment vertical="center" wrapText="1"/>
    </xf>
    <xf numFmtId="0" fontId="57" fillId="2" borderId="43" xfId="9" applyFont="1" applyFill="1" applyBorder="1" applyAlignment="1">
      <alignment horizontal="center" vertical="center" wrapText="1"/>
    </xf>
    <xf numFmtId="0" fontId="40" fillId="10" borderId="34" xfId="9" applyFont="1" applyFill="1" applyBorder="1" applyAlignment="1">
      <alignment horizontal="center" vertical="center" wrapText="1"/>
    </xf>
    <xf numFmtId="0" fontId="40" fillId="10" borderId="34" xfId="9" applyFont="1" applyFill="1" applyBorder="1" applyAlignment="1">
      <alignment vertical="center" wrapText="1"/>
    </xf>
    <xf numFmtId="0" fontId="40" fillId="10" borderId="33" xfId="9" applyFont="1" applyFill="1" applyBorder="1" applyAlignment="1">
      <alignment vertical="center" wrapText="1"/>
    </xf>
    <xf numFmtId="10" fontId="58" fillId="10" borderId="35" xfId="177" applyNumberFormat="1" applyFont="1" applyFill="1" applyBorder="1" applyAlignment="1">
      <alignment horizontal="left" vertical="center"/>
    </xf>
    <xf numFmtId="10" fontId="38" fillId="11" borderId="61" xfId="177" applyNumberFormat="1" applyFont="1" applyFill="1" applyBorder="1" applyAlignment="1">
      <alignment horizontal="left" vertical="center"/>
    </xf>
    <xf numFmtId="0" fontId="57" fillId="2" borderId="44" xfId="9" applyFont="1" applyFill="1" applyBorder="1" applyAlignment="1">
      <alignment horizontal="center" vertical="center" wrapText="1"/>
    </xf>
    <xf numFmtId="0" fontId="10" fillId="0" borderId="58" xfId="9" applyFont="1" applyBorder="1" applyAlignment="1">
      <alignment vertical="center" wrapText="1"/>
    </xf>
    <xf numFmtId="10" fontId="58" fillId="0" borderId="43" xfId="177" applyNumberFormat="1" applyFont="1" applyFill="1" applyBorder="1" applyAlignment="1">
      <alignment horizontal="left" vertical="center"/>
    </xf>
    <xf numFmtId="0" fontId="57" fillId="2" borderId="39" xfId="9" applyFont="1" applyFill="1" applyBorder="1" applyAlignment="1">
      <alignment horizontal="center" vertical="center" wrapText="1"/>
    </xf>
    <xf numFmtId="0" fontId="54" fillId="2" borderId="39" xfId="9" applyFont="1" applyFill="1" applyBorder="1" applyAlignment="1">
      <alignment horizontal="center" vertical="center" wrapText="1"/>
    </xf>
    <xf numFmtId="0" fontId="53" fillId="0" borderId="58" xfId="9" applyFont="1" applyBorder="1" applyAlignment="1">
      <alignment vertical="center" wrapText="1"/>
    </xf>
    <xf numFmtId="0" fontId="69" fillId="0" borderId="33" xfId="9" applyFont="1" applyBorder="1" applyAlignment="1">
      <alignment vertical="center" wrapText="1"/>
    </xf>
    <xf numFmtId="0" fontId="27" fillId="10" borderId="37" xfId="9" applyFont="1" applyFill="1" applyBorder="1" applyAlignment="1">
      <alignment horizontal="center" vertical="center" wrapText="1"/>
    </xf>
    <xf numFmtId="0" fontId="27" fillId="10" borderId="37" xfId="9" applyFont="1" applyFill="1" applyBorder="1" applyAlignment="1">
      <alignment vertical="center" wrapText="1"/>
    </xf>
    <xf numFmtId="0" fontId="27" fillId="10" borderId="3" xfId="9" applyFont="1" applyFill="1" applyBorder="1" applyAlignment="1">
      <alignment vertical="center" wrapText="1"/>
    </xf>
    <xf numFmtId="3" fontId="15" fillId="11" borderId="44" xfId="178" applyNumberFormat="1" applyFont="1" applyFill="1" applyBorder="1" applyAlignment="1">
      <alignment horizontal="right" vertical="center"/>
    </xf>
    <xf numFmtId="3" fontId="15" fillId="11" borderId="58" xfId="178" applyNumberFormat="1" applyFont="1" applyFill="1" applyBorder="1" applyAlignment="1">
      <alignment horizontal="right" vertical="center"/>
    </xf>
    <xf numFmtId="3" fontId="48" fillId="11" borderId="50" xfId="178" applyNumberFormat="1" applyFont="1" applyFill="1" applyBorder="1" applyAlignment="1">
      <alignment horizontal="right" vertical="center"/>
    </xf>
    <xf numFmtId="0" fontId="27" fillId="0" borderId="46" xfId="9" applyFont="1" applyBorder="1" applyAlignment="1">
      <alignment horizontal="center" vertical="center" wrapText="1"/>
    </xf>
    <xf numFmtId="0" fontId="15" fillId="0" borderId="46" xfId="9" applyFont="1" applyBorder="1" applyAlignment="1">
      <alignment horizontal="center" vertical="center" wrapText="1"/>
    </xf>
    <xf numFmtId="0" fontId="48" fillId="11" borderId="33" xfId="9" applyFont="1" applyFill="1" applyBorder="1" applyAlignment="1">
      <alignment horizontal="left" vertical="center" wrapText="1"/>
    </xf>
    <xf numFmtId="0" fontId="60" fillId="0" borderId="39" xfId="9" applyFont="1" applyBorder="1" applyAlignment="1">
      <alignment horizontal="center" vertical="center" wrapText="1"/>
    </xf>
    <xf numFmtId="0" fontId="52" fillId="2" borderId="41" xfId="9" applyFont="1" applyFill="1" applyBorder="1" applyAlignment="1">
      <alignment vertical="center" wrapText="1"/>
    </xf>
    <xf numFmtId="0" fontId="53" fillId="0" borderId="0" xfId="9" applyFont="1" applyAlignment="1">
      <alignment vertical="center" wrapText="1"/>
    </xf>
    <xf numFmtId="49" fontId="53" fillId="2" borderId="39" xfId="9" applyNumberFormat="1" applyFont="1" applyFill="1" applyBorder="1" applyAlignment="1">
      <alignment horizontal="center" vertical="center" wrapText="1"/>
    </xf>
    <xf numFmtId="0" fontId="47" fillId="10" borderId="33" xfId="9" applyFont="1" applyFill="1" applyBorder="1" applyAlignment="1">
      <alignment horizontal="center" vertical="center" wrapText="1"/>
    </xf>
    <xf numFmtId="0" fontId="15" fillId="2" borderId="21" xfId="9" applyFont="1" applyFill="1" applyBorder="1" applyAlignment="1">
      <alignment horizontal="left" vertical="center" wrapText="1"/>
    </xf>
    <xf numFmtId="0" fontId="15" fillId="0" borderId="58" xfId="9" applyFont="1" applyBorder="1" applyAlignment="1">
      <alignment horizontal="left" vertical="center" wrapText="1"/>
    </xf>
    <xf numFmtId="49" fontId="15" fillId="0" borderId="44" xfId="9" applyNumberFormat="1" applyFont="1" applyBorder="1" applyAlignment="1">
      <alignment horizontal="center" vertical="center" wrapText="1"/>
    </xf>
    <xf numFmtId="0" fontId="52" fillId="0" borderId="58" xfId="9" applyFont="1" applyBorder="1" applyAlignment="1">
      <alignment horizontal="center" vertical="center" wrapText="1"/>
    </xf>
    <xf numFmtId="0" fontId="15" fillId="0" borderId="44" xfId="9" applyFont="1" applyBorder="1" applyAlignment="1">
      <alignment horizontal="left" vertical="center" wrapText="1"/>
    </xf>
    <xf numFmtId="3" fontId="46" fillId="10" borderId="34" xfId="178" applyNumberFormat="1" applyFont="1" applyFill="1" applyBorder="1" applyAlignment="1">
      <alignment horizontal="right" vertical="center"/>
    </xf>
    <xf numFmtId="3" fontId="50" fillId="11" borderId="50" xfId="178" applyNumberFormat="1" applyFont="1" applyFill="1" applyBorder="1" applyAlignment="1">
      <alignment horizontal="right" vertical="center"/>
    </xf>
    <xf numFmtId="0" fontId="53" fillId="0" borderId="46" xfId="9" applyFont="1" applyBorder="1" applyAlignment="1">
      <alignment horizontal="left" vertical="center" wrapText="1"/>
    </xf>
    <xf numFmtId="0" fontId="53" fillId="0" borderId="47" xfId="9" applyFont="1" applyBorder="1" applyAlignment="1">
      <alignment horizontal="left" vertical="center" wrapText="1"/>
    </xf>
    <xf numFmtId="3" fontId="50" fillId="11" borderId="34" xfId="178" applyNumberFormat="1" applyFont="1" applyFill="1" applyBorder="1" applyAlignment="1">
      <alignment horizontal="right" vertical="center"/>
    </xf>
    <xf numFmtId="0" fontId="40" fillId="14" borderId="36" xfId="9" applyFont="1" applyFill="1" applyBorder="1" applyAlignment="1">
      <alignment horizontal="center" vertical="center" wrapText="1"/>
    </xf>
    <xf numFmtId="0" fontId="40" fillId="14" borderId="37" xfId="9" applyFont="1" applyFill="1" applyBorder="1" applyAlignment="1">
      <alignment vertical="center" wrapText="1"/>
    </xf>
    <xf numFmtId="0" fontId="40" fillId="14" borderId="3" xfId="9" applyFont="1" applyFill="1" applyBorder="1" applyAlignment="1">
      <alignment vertical="center" wrapText="1"/>
    </xf>
    <xf numFmtId="3" fontId="58" fillId="14" borderId="37" xfId="178" applyNumberFormat="1" applyFont="1" applyFill="1" applyBorder="1" applyAlignment="1">
      <alignment horizontal="right" vertical="center"/>
    </xf>
    <xf numFmtId="0" fontId="40" fillId="0" borderId="30" xfId="9" applyFont="1" applyBorder="1" applyAlignment="1">
      <alignment vertical="center" wrapText="1"/>
    </xf>
    <xf numFmtId="3" fontId="38" fillId="11" borderId="30" xfId="179" applyNumberFormat="1" applyFont="1" applyFill="1" applyBorder="1" applyAlignment="1">
      <alignment horizontal="right" vertical="center"/>
    </xf>
    <xf numFmtId="3" fontId="38" fillId="11" borderId="31" xfId="179" applyNumberFormat="1" applyFont="1" applyFill="1" applyBorder="1" applyAlignment="1">
      <alignment horizontal="right" vertical="center"/>
    </xf>
    <xf numFmtId="3" fontId="38" fillId="11" borderId="50" xfId="179" applyNumberFormat="1" applyFont="1" applyFill="1" applyBorder="1" applyAlignment="1">
      <alignment horizontal="right" vertical="center"/>
    </xf>
    <xf numFmtId="10" fontId="58" fillId="11" borderId="22" xfId="177" applyNumberFormat="1" applyFont="1" applyFill="1" applyBorder="1" applyAlignment="1">
      <alignment horizontal="left" vertical="center"/>
    </xf>
    <xf numFmtId="0" fontId="59" fillId="2" borderId="46" xfId="9" applyFont="1" applyFill="1" applyBorder="1" applyAlignment="1">
      <alignment horizontal="center" vertical="center" wrapText="1"/>
    </xf>
    <xf numFmtId="0" fontId="10" fillId="2" borderId="19" xfId="9" applyFont="1" applyFill="1" applyBorder="1" applyAlignment="1">
      <alignment vertical="center" wrapText="1"/>
    </xf>
    <xf numFmtId="3" fontId="38" fillId="11" borderId="55" xfId="179" applyNumberFormat="1" applyFont="1" applyFill="1" applyBorder="1" applyAlignment="1">
      <alignment horizontal="right" vertical="center"/>
    </xf>
    <xf numFmtId="0" fontId="10" fillId="2" borderId="22" xfId="9" applyFont="1" applyFill="1" applyBorder="1" applyAlignment="1">
      <alignment horizontal="left" vertical="center" wrapText="1"/>
    </xf>
    <xf numFmtId="49" fontId="10" fillId="2" borderId="41" xfId="9" applyNumberFormat="1" applyFont="1" applyFill="1" applyBorder="1" applyAlignment="1">
      <alignment horizontal="center" vertical="center" wrapText="1"/>
    </xf>
    <xf numFmtId="3" fontId="61" fillId="2" borderId="39" xfId="178" applyNumberFormat="1" applyFont="1" applyFill="1" applyBorder="1" applyAlignment="1">
      <alignment horizontal="right" vertical="center"/>
    </xf>
    <xf numFmtId="3" fontId="61" fillId="2" borderId="52" xfId="178" applyNumberFormat="1" applyFont="1" applyFill="1" applyBorder="1" applyAlignment="1">
      <alignment horizontal="right" vertical="center"/>
    </xf>
    <xf numFmtId="0" fontId="1" fillId="2" borderId="0" xfId="178" applyFont="1" applyFill="1"/>
    <xf numFmtId="0" fontId="10" fillId="0" borderId="22" xfId="9" applyFont="1" applyBorder="1" applyAlignment="1">
      <alignment vertical="center" wrapText="1"/>
    </xf>
    <xf numFmtId="0" fontId="10" fillId="0" borderId="43" xfId="9" applyFont="1" applyBorder="1" applyAlignment="1">
      <alignment vertical="center" wrapText="1"/>
    </xf>
    <xf numFmtId="3" fontId="10" fillId="0" borderId="39" xfId="178" applyNumberFormat="1" applyFont="1" applyBorder="1" applyAlignment="1">
      <alignment horizontal="right" vertical="center"/>
    </xf>
    <xf numFmtId="3" fontId="10" fillId="0" borderId="52" xfId="178" applyNumberFormat="1" applyFont="1" applyBorder="1" applyAlignment="1">
      <alignment horizontal="right" vertical="center"/>
    </xf>
    <xf numFmtId="0" fontId="59" fillId="2" borderId="47" xfId="9" applyFont="1" applyFill="1" applyBorder="1" applyAlignment="1">
      <alignment horizontal="center" vertical="center" wrapText="1"/>
    </xf>
    <xf numFmtId="0" fontId="59" fillId="11" borderId="33" xfId="9" applyFont="1" applyFill="1" applyBorder="1" applyAlignment="1">
      <alignment horizontal="left" vertical="center" wrapText="1"/>
    </xf>
    <xf numFmtId="0" fontId="15" fillId="5" borderId="36" xfId="9" applyFont="1" applyFill="1" applyBorder="1" applyAlignment="1">
      <alignment horizontal="center" vertical="center" wrapText="1"/>
    </xf>
    <xf numFmtId="0" fontId="27" fillId="5" borderId="37" xfId="9" applyFont="1" applyFill="1" applyBorder="1" applyAlignment="1">
      <alignment horizontal="left" vertical="center" wrapText="1"/>
    </xf>
    <xf numFmtId="0" fontId="27" fillId="5" borderId="3" xfId="9" applyFont="1" applyFill="1" applyBorder="1" applyAlignment="1">
      <alignment horizontal="left" vertical="center" wrapText="1"/>
    </xf>
    <xf numFmtId="0" fontId="44" fillId="2" borderId="39" xfId="9" applyFont="1" applyFill="1" applyBorder="1" applyAlignment="1">
      <alignment horizontal="center" vertical="center" wrapText="1"/>
    </xf>
    <xf numFmtId="0" fontId="44" fillId="0" borderId="39" xfId="9" applyFont="1" applyBorder="1" applyAlignment="1">
      <alignment horizontal="center" vertical="center" wrapText="1"/>
    </xf>
    <xf numFmtId="0" fontId="33" fillId="0" borderId="44" xfId="178" applyFont="1" applyBorder="1"/>
    <xf numFmtId="0" fontId="15" fillId="0" borderId="21" xfId="9" applyFont="1" applyBorder="1" applyAlignment="1">
      <alignment horizontal="left" vertical="center" wrapText="1"/>
    </xf>
    <xf numFmtId="49" fontId="15" fillId="0" borderId="39" xfId="9" applyNumberFormat="1" applyFont="1" applyBorder="1" applyAlignment="1">
      <alignment horizontal="center" vertical="center" wrapText="1"/>
    </xf>
    <xf numFmtId="3" fontId="13" fillId="0" borderId="39" xfId="178" applyNumberFormat="1" applyFont="1" applyBorder="1" applyAlignment="1">
      <alignment horizontal="right" vertical="center"/>
    </xf>
    <xf numFmtId="0" fontId="52" fillId="0" borderId="39" xfId="9" applyFont="1" applyBorder="1" applyAlignment="1">
      <alignment horizontal="left" vertical="center" wrapText="1"/>
    </xf>
    <xf numFmtId="0" fontId="52" fillId="2" borderId="41" xfId="9" applyFont="1" applyFill="1" applyBorder="1" applyAlignment="1">
      <alignment horizontal="center" vertical="center" wrapText="1"/>
    </xf>
    <xf numFmtId="0" fontId="53" fillId="2" borderId="46" xfId="9" applyFont="1" applyFill="1" applyBorder="1" applyAlignment="1">
      <alignment horizontal="center" vertical="center" wrapText="1"/>
    </xf>
    <xf numFmtId="0" fontId="44" fillId="2" borderId="33" xfId="9" applyFont="1" applyFill="1" applyBorder="1" applyAlignment="1">
      <alignment horizontal="center" vertical="center" wrapText="1"/>
    </xf>
    <xf numFmtId="0" fontId="63" fillId="0" borderId="39" xfId="9" applyFont="1" applyBorder="1" applyAlignment="1">
      <alignment horizontal="center" vertical="center" wrapText="1"/>
    </xf>
    <xf numFmtId="0" fontId="54" fillId="10" borderId="35" xfId="9" applyFont="1" applyFill="1" applyBorder="1" applyAlignment="1">
      <alignment horizontal="center" vertical="center" wrapText="1"/>
    </xf>
    <xf numFmtId="0" fontId="54" fillId="10" borderId="34" xfId="9" applyFont="1" applyFill="1" applyBorder="1" applyAlignment="1">
      <alignment horizontal="left" vertical="center" wrapText="1"/>
    </xf>
    <xf numFmtId="0" fontId="54" fillId="10" borderId="33" xfId="9" applyFont="1" applyFill="1" applyBorder="1" applyAlignment="1">
      <alignment horizontal="left" vertical="center" wrapText="1"/>
    </xf>
    <xf numFmtId="0" fontId="52" fillId="11" borderId="30" xfId="9" applyFont="1" applyFill="1" applyBorder="1" applyAlignment="1">
      <alignment horizontal="left" vertical="center" wrapText="1"/>
    </xf>
    <xf numFmtId="3" fontId="51" fillId="11" borderId="39" xfId="178" applyNumberFormat="1" applyFont="1" applyFill="1" applyBorder="1" applyAlignment="1">
      <alignment horizontal="right" vertical="center"/>
    </xf>
    <xf numFmtId="0" fontId="77" fillId="9" borderId="3" xfId="9" applyFont="1" applyFill="1" applyBorder="1" applyAlignment="1">
      <alignment horizontal="center" vertical="center" wrapText="1"/>
    </xf>
    <xf numFmtId="3" fontId="78" fillId="9" borderId="3" xfId="178" applyNumberFormat="1" applyFont="1" applyFill="1" applyBorder="1" applyAlignment="1">
      <alignment horizontal="right" vertical="center"/>
    </xf>
    <xf numFmtId="10" fontId="47" fillId="9" borderId="3" xfId="177" applyNumberFormat="1" applyFont="1" applyFill="1" applyBorder="1" applyAlignment="1">
      <alignment horizontal="right" vertical="center"/>
    </xf>
    <xf numFmtId="3" fontId="78" fillId="9" borderId="37" xfId="178" applyNumberFormat="1" applyFont="1" applyFill="1" applyBorder="1" applyAlignment="1">
      <alignment horizontal="right" vertical="center"/>
    </xf>
    <xf numFmtId="10" fontId="45" fillId="9" borderId="3" xfId="177" applyNumberFormat="1" applyFont="1" applyFill="1" applyBorder="1" applyAlignment="1">
      <alignment horizontal="right" vertical="center"/>
    </xf>
    <xf numFmtId="10" fontId="79" fillId="9" borderId="36" xfId="177" applyNumberFormat="1" applyFont="1" applyFill="1" applyBorder="1" applyAlignment="1">
      <alignment horizontal="left" vertical="center"/>
    </xf>
    <xf numFmtId="0" fontId="80" fillId="11" borderId="50" xfId="9" applyFont="1" applyFill="1" applyBorder="1" applyAlignment="1">
      <alignment horizontal="left" vertical="center"/>
    </xf>
    <xf numFmtId="0" fontId="80" fillId="11" borderId="40" xfId="9" applyFont="1" applyFill="1" applyBorder="1" applyAlignment="1">
      <alignment horizontal="left" vertical="center"/>
    </xf>
    <xf numFmtId="0" fontId="81" fillId="11" borderId="51" xfId="9" applyFont="1" applyFill="1" applyBorder="1" applyAlignment="1">
      <alignment vertical="center"/>
    </xf>
    <xf numFmtId="3" fontId="78" fillId="11" borderId="51" xfId="178" applyNumberFormat="1" applyFont="1" applyFill="1" applyBorder="1" applyAlignment="1">
      <alignment horizontal="right" vertical="center"/>
    </xf>
    <xf numFmtId="3" fontId="53" fillId="11" borderId="7" xfId="178" applyNumberFormat="1" applyFont="1" applyFill="1" applyBorder="1" applyAlignment="1">
      <alignment horizontal="right" vertical="center"/>
    </xf>
    <xf numFmtId="0" fontId="82" fillId="11" borderId="6" xfId="9" applyFont="1" applyFill="1" applyBorder="1" applyAlignment="1">
      <alignment horizontal="left" vertical="center"/>
    </xf>
    <xf numFmtId="0" fontId="82" fillId="11" borderId="7" xfId="9" applyFont="1" applyFill="1" applyBorder="1" applyAlignment="1">
      <alignment horizontal="left" vertical="center"/>
    </xf>
    <xf numFmtId="0" fontId="82" fillId="11" borderId="19" xfId="9" applyFont="1" applyFill="1" applyBorder="1" applyAlignment="1">
      <alignment horizontal="left" vertical="center"/>
    </xf>
    <xf numFmtId="0" fontId="79" fillId="11" borderId="46" xfId="9" applyFont="1" applyFill="1" applyBorder="1" applyAlignment="1">
      <alignment vertical="center"/>
    </xf>
    <xf numFmtId="3" fontId="82" fillId="11" borderId="47" xfId="178" applyNumberFormat="1" applyFont="1" applyFill="1" applyBorder="1" applyAlignment="1">
      <alignment horizontal="right" vertical="center"/>
    </xf>
    <xf numFmtId="3" fontId="82" fillId="11" borderId="46" xfId="178" applyNumberFormat="1" applyFont="1" applyFill="1" applyBorder="1" applyAlignment="1">
      <alignment horizontal="right" vertical="center"/>
    </xf>
    <xf numFmtId="10" fontId="47" fillId="11" borderId="46" xfId="177" applyNumberFormat="1" applyFont="1" applyFill="1" applyBorder="1" applyAlignment="1">
      <alignment horizontal="right" vertical="center"/>
    </xf>
    <xf numFmtId="10" fontId="83" fillId="11" borderId="46" xfId="177" applyNumberFormat="1" applyFont="1" applyFill="1" applyBorder="1" applyAlignment="1">
      <alignment horizontal="right" vertical="center"/>
    </xf>
    <xf numFmtId="10" fontId="79" fillId="11" borderId="22" xfId="177" applyNumberFormat="1" applyFont="1" applyFill="1" applyBorder="1" applyAlignment="1">
      <alignment horizontal="left" vertical="center"/>
    </xf>
    <xf numFmtId="0" fontId="81" fillId="11" borderId="44" xfId="9" applyFont="1" applyFill="1" applyBorder="1" applyAlignment="1">
      <alignment vertical="center"/>
    </xf>
    <xf numFmtId="0" fontId="82" fillId="11" borderId="24" xfId="9" applyFont="1" applyFill="1" applyBorder="1" applyAlignment="1">
      <alignment horizontal="left" vertical="center"/>
    </xf>
    <xf numFmtId="0" fontId="82" fillId="11" borderId="25" xfId="9" applyFont="1" applyFill="1" applyBorder="1" applyAlignment="1">
      <alignment horizontal="left" vertical="center"/>
    </xf>
    <xf numFmtId="0" fontId="82" fillId="11" borderId="62" xfId="9" applyFont="1" applyFill="1" applyBorder="1" applyAlignment="1">
      <alignment horizontal="left" vertical="center"/>
    </xf>
    <xf numFmtId="0" fontId="79" fillId="11" borderId="54" xfId="9" applyFont="1" applyFill="1" applyBorder="1" applyAlignment="1">
      <alignment vertical="center"/>
    </xf>
    <xf numFmtId="3" fontId="82" fillId="11" borderId="55" xfId="178" applyNumberFormat="1" applyFont="1" applyFill="1" applyBorder="1" applyAlignment="1">
      <alignment horizontal="right" vertical="center"/>
    </xf>
    <xf numFmtId="3" fontId="82" fillId="11" borderId="54" xfId="178" applyNumberFormat="1" applyFont="1" applyFill="1" applyBorder="1" applyAlignment="1">
      <alignment horizontal="right" vertical="center"/>
    </xf>
    <xf numFmtId="10" fontId="47" fillId="11" borderId="54" xfId="177" applyNumberFormat="1" applyFont="1" applyFill="1" applyBorder="1" applyAlignment="1">
      <alignment horizontal="right" vertical="center"/>
    </xf>
    <xf numFmtId="10" fontId="83" fillId="11" borderId="54" xfId="177" applyNumberFormat="1" applyFont="1" applyFill="1" applyBorder="1" applyAlignment="1">
      <alignment horizontal="right" vertical="center"/>
    </xf>
    <xf numFmtId="10" fontId="79" fillId="11" borderId="57" xfId="177" applyNumberFormat="1" applyFont="1" applyFill="1" applyBorder="1" applyAlignment="1">
      <alignment horizontal="left" vertical="center"/>
    </xf>
    <xf numFmtId="3" fontId="51" fillId="0" borderId="0" xfId="178" applyNumberFormat="1" applyFont="1" applyAlignment="1">
      <alignment horizontal="right" vertical="center"/>
    </xf>
    <xf numFmtId="0" fontId="81" fillId="11" borderId="39" xfId="9" applyFont="1" applyFill="1" applyBorder="1" applyAlignment="1">
      <alignment vertical="center"/>
    </xf>
    <xf numFmtId="3" fontId="80" fillId="11" borderId="41" xfId="178" applyNumberFormat="1" applyFont="1" applyFill="1" applyBorder="1" applyAlignment="1">
      <alignment horizontal="right" vertical="center"/>
    </xf>
    <xf numFmtId="3" fontId="15" fillId="0" borderId="0" xfId="178" applyNumberFormat="1" applyFont="1" applyAlignment="1">
      <alignment horizontal="right" vertical="center"/>
    </xf>
    <xf numFmtId="9" fontId="27" fillId="5" borderId="0" xfId="177" applyFont="1" applyFill="1" applyBorder="1" applyAlignment="1">
      <alignment horizontal="right" vertical="center"/>
    </xf>
    <xf numFmtId="10" fontId="27" fillId="5" borderId="0" xfId="177" applyNumberFormat="1" applyFont="1" applyFill="1" applyBorder="1" applyAlignment="1">
      <alignment horizontal="right" vertical="center"/>
    </xf>
    <xf numFmtId="3" fontId="53" fillId="0" borderId="0" xfId="178" applyNumberFormat="1" applyFont="1" applyAlignment="1">
      <alignment horizontal="left" vertical="center"/>
    </xf>
    <xf numFmtId="0" fontId="81" fillId="11" borderId="54" xfId="9" applyFont="1" applyFill="1" applyBorder="1" applyAlignment="1">
      <alignment vertical="center"/>
    </xf>
    <xf numFmtId="3" fontId="80" fillId="11" borderId="24" xfId="178" applyNumberFormat="1" applyFont="1" applyFill="1" applyBorder="1" applyAlignment="1">
      <alignment horizontal="right" vertical="center"/>
    </xf>
    <xf numFmtId="3" fontId="13" fillId="0" borderId="0" xfId="179" applyNumberFormat="1" applyFont="1" applyBorder="1" applyAlignment="1">
      <alignment horizontal="right" vertical="center"/>
    </xf>
    <xf numFmtId="0" fontId="85" fillId="0" borderId="0" xfId="178" applyFont="1"/>
    <xf numFmtId="3" fontId="53" fillId="0" borderId="0" xfId="178" applyNumberFormat="1" applyFont="1" applyAlignment="1">
      <alignment horizontal="right" vertical="center"/>
    </xf>
    <xf numFmtId="0" fontId="85" fillId="0" borderId="0" xfId="178" applyFont="1" applyAlignment="1">
      <alignment horizontal="right"/>
    </xf>
    <xf numFmtId="3" fontId="51" fillId="0" borderId="0" xfId="179" applyNumberFormat="1" applyFont="1" applyBorder="1" applyAlignment="1">
      <alignment horizontal="right" vertical="center"/>
    </xf>
    <xf numFmtId="9" fontId="53" fillId="0" borderId="0" xfId="177" applyFont="1" applyAlignment="1">
      <alignment horizontal="right" vertical="center"/>
    </xf>
    <xf numFmtId="0" fontId="86" fillId="0" borderId="0" xfId="178" applyFont="1"/>
    <xf numFmtId="3" fontId="46" fillId="0" borderId="0" xfId="179" applyNumberFormat="1" applyFont="1" applyBorder="1" applyAlignment="1">
      <alignment horizontal="right" vertical="center"/>
    </xf>
    <xf numFmtId="3" fontId="44" fillId="0" borderId="0" xfId="178" applyNumberFormat="1" applyFont="1" applyAlignment="1">
      <alignment horizontal="right" vertical="center"/>
    </xf>
    <xf numFmtId="3" fontId="51" fillId="0" borderId="0" xfId="178" applyNumberFormat="1" applyFont="1" applyAlignment="1">
      <alignment horizontal="left" vertical="center"/>
    </xf>
    <xf numFmtId="0" fontId="31" fillId="0" borderId="0" xfId="178" applyAlignment="1">
      <alignment horizontal="left"/>
    </xf>
    <xf numFmtId="0" fontId="62" fillId="0" borderId="0" xfId="178" applyFont="1" applyAlignment="1">
      <alignment horizontal="center" vertical="center"/>
    </xf>
    <xf numFmtId="0" fontId="62" fillId="0" borderId="0" xfId="178" applyFont="1" applyAlignment="1">
      <alignment vertical="center"/>
    </xf>
    <xf numFmtId="0" fontId="53" fillId="0" borderId="0" xfId="181" applyNumberFormat="1" applyFont="1" applyFill="1" applyBorder="1" applyAlignment="1" applyProtection="1">
      <alignment horizontal="left" vertical="center"/>
      <protection locked="0"/>
    </xf>
    <xf numFmtId="0" fontId="15" fillId="0" borderId="0" xfId="181" applyNumberFormat="1" applyFont="1" applyFill="1" applyBorder="1" applyAlignment="1" applyProtection="1">
      <alignment horizontal="left" vertical="center"/>
      <protection locked="0"/>
    </xf>
    <xf numFmtId="0" fontId="17" fillId="0" borderId="0" xfId="181" applyNumberFormat="1" applyFont="1" applyFill="1" applyBorder="1" applyAlignment="1" applyProtection="1">
      <alignment vertical="center" wrapText="1"/>
      <protection locked="0"/>
    </xf>
    <xf numFmtId="3" fontId="17" fillId="0" borderId="0" xfId="181" applyNumberFormat="1" applyFont="1" applyFill="1" applyBorder="1" applyAlignment="1" applyProtection="1">
      <alignment vertical="center" wrapText="1"/>
      <protection locked="0"/>
    </xf>
    <xf numFmtId="0" fontId="17" fillId="0" borderId="29" xfId="181" applyNumberFormat="1" applyFont="1" applyFill="1" applyBorder="1" applyAlignment="1" applyProtection="1">
      <alignment vertical="center" wrapText="1"/>
      <protection locked="0"/>
    </xf>
    <xf numFmtId="3" fontId="5" fillId="0" borderId="0" xfId="181" applyNumberFormat="1" applyFont="1" applyFill="1" applyBorder="1" applyAlignment="1" applyProtection="1">
      <alignment horizontal="right" vertical="center"/>
      <protection locked="0"/>
    </xf>
    <xf numFmtId="3" fontId="59" fillId="0" borderId="0" xfId="181" applyNumberFormat="1" applyFont="1" applyFill="1" applyBorder="1" applyAlignment="1" applyProtection="1">
      <alignment horizontal="right" vertical="center"/>
      <protection locked="0"/>
    </xf>
    <xf numFmtId="0" fontId="89" fillId="0" borderId="0" xfId="181" applyNumberFormat="1" applyFont="1" applyFill="1" applyBorder="1" applyAlignment="1" applyProtection="1">
      <alignment horizontal="left" vertical="center"/>
      <protection locked="0"/>
    </xf>
    <xf numFmtId="0" fontId="90" fillId="0" borderId="0" xfId="181" applyNumberFormat="1" applyFont="1" applyFill="1" applyBorder="1" applyAlignment="1" applyProtection="1">
      <alignment horizontal="left" vertical="center"/>
      <protection locked="0"/>
    </xf>
    <xf numFmtId="49" fontId="42" fillId="15" borderId="37" xfId="181" applyNumberFormat="1" applyFont="1" applyFill="1" applyBorder="1" applyAlignment="1" applyProtection="1">
      <alignment horizontal="center" vertical="center" wrapText="1"/>
      <protection locked="0"/>
    </xf>
    <xf numFmtId="49" fontId="42" fillId="15" borderId="3" xfId="181" applyNumberFormat="1" applyFont="1" applyFill="1" applyBorder="1" applyAlignment="1" applyProtection="1">
      <alignment horizontal="center" vertical="center" wrapText="1"/>
      <protection locked="0"/>
    </xf>
    <xf numFmtId="49" fontId="42" fillId="15" borderId="36" xfId="181" applyNumberFormat="1" applyFont="1" applyFill="1" applyBorder="1" applyAlignment="1" applyProtection="1">
      <alignment horizontal="center" vertical="center" wrapText="1"/>
      <protection locked="0"/>
    </xf>
    <xf numFmtId="49" fontId="40" fillId="15" borderId="3" xfId="181" applyNumberFormat="1" applyFont="1" applyFill="1" applyBorder="1" applyAlignment="1" applyProtection="1">
      <alignment horizontal="center" vertical="center" wrapText="1"/>
      <protection locked="0"/>
    </xf>
    <xf numFmtId="0" fontId="40" fillId="8" borderId="37" xfId="181" applyNumberFormat="1" applyFont="1" applyFill="1" applyBorder="1" applyAlignment="1" applyProtection="1">
      <alignment horizontal="center" vertical="center" wrapText="1"/>
      <protection locked="0"/>
    </xf>
    <xf numFmtId="3" fontId="40" fillId="8" borderId="3" xfId="181" applyNumberFormat="1" applyFont="1" applyFill="1" applyBorder="1" applyAlignment="1" applyProtection="1">
      <alignment horizontal="center" vertical="center" wrapText="1"/>
      <protection locked="0"/>
    </xf>
    <xf numFmtId="3" fontId="40" fillId="8" borderId="36" xfId="181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181" applyNumberFormat="1" applyFont="1" applyFill="1" applyBorder="1" applyAlignment="1" applyProtection="1">
      <alignment horizontal="center" vertical="center"/>
      <protection locked="0"/>
    </xf>
    <xf numFmtId="0" fontId="27" fillId="0" borderId="0" xfId="181" applyNumberFormat="1" applyFont="1" applyFill="1" applyBorder="1" applyAlignment="1" applyProtection="1">
      <alignment horizontal="center" vertical="center"/>
      <protection locked="0"/>
    </xf>
    <xf numFmtId="49" fontId="40" fillId="16" borderId="37" xfId="181" applyNumberFormat="1" applyFont="1" applyFill="1" applyBorder="1" applyAlignment="1" applyProtection="1">
      <alignment horizontal="center" vertical="center" wrapText="1"/>
      <protection locked="0"/>
    </xf>
    <xf numFmtId="49" fontId="40" fillId="16" borderId="3" xfId="181" applyNumberFormat="1" applyFont="1" applyFill="1" applyBorder="1" applyAlignment="1" applyProtection="1">
      <alignment horizontal="center" vertical="center" wrapText="1"/>
      <protection locked="0"/>
    </xf>
    <xf numFmtId="49" fontId="40" fillId="16" borderId="36" xfId="181" applyNumberFormat="1" applyFont="1" applyFill="1" applyBorder="1" applyAlignment="1" applyProtection="1">
      <alignment horizontal="center" vertical="center" wrapText="1"/>
      <protection locked="0"/>
    </xf>
    <xf numFmtId="0" fontId="40" fillId="0" borderId="37" xfId="181" applyNumberFormat="1" applyFont="1" applyFill="1" applyBorder="1" applyAlignment="1" applyProtection="1">
      <alignment horizontal="center" vertical="center" wrapText="1"/>
      <protection locked="0"/>
    </xf>
    <xf numFmtId="3" fontId="40" fillId="0" borderId="41" xfId="181" applyNumberFormat="1" applyFont="1" applyFill="1" applyBorder="1" applyAlignment="1" applyProtection="1">
      <alignment horizontal="center" vertical="center"/>
      <protection locked="0"/>
    </xf>
    <xf numFmtId="3" fontId="40" fillId="0" borderId="43" xfId="181" applyNumberFormat="1" applyFont="1" applyFill="1" applyBorder="1" applyAlignment="1" applyProtection="1">
      <alignment horizontal="center" vertical="center"/>
      <protection locked="0"/>
    </xf>
    <xf numFmtId="49" fontId="44" fillId="16" borderId="37" xfId="181" applyNumberFormat="1" applyFont="1" applyFill="1" applyBorder="1" applyAlignment="1" applyProtection="1">
      <alignment horizontal="center" vertical="center" wrapText="1"/>
      <protection locked="0"/>
    </xf>
    <xf numFmtId="49" fontId="44" fillId="16" borderId="30" xfId="181" applyNumberFormat="1" applyFont="1" applyFill="1" applyBorder="1" applyAlignment="1" applyProtection="1">
      <alignment horizontal="center" vertical="center" wrapText="1"/>
      <protection locked="0"/>
    </xf>
    <xf numFmtId="49" fontId="44" fillId="16" borderId="56" xfId="181" applyNumberFormat="1" applyFont="1" applyFill="1" applyBorder="1" applyAlignment="1" applyProtection="1">
      <alignment horizontal="center" vertical="center" wrapText="1"/>
      <protection locked="0"/>
    </xf>
    <xf numFmtId="0" fontId="44" fillId="0" borderId="31" xfId="181" applyNumberFormat="1" applyFont="1" applyFill="1" applyBorder="1" applyAlignment="1" applyProtection="1">
      <alignment horizontal="center" vertical="center" wrapText="1"/>
      <protection locked="0"/>
    </xf>
    <xf numFmtId="3" fontId="53" fillId="0" borderId="44" xfId="181" applyNumberFormat="1" applyFont="1" applyFill="1" applyBorder="1" applyAlignment="1" applyProtection="1">
      <alignment horizontal="right" vertical="center"/>
      <protection locked="0"/>
    </xf>
    <xf numFmtId="3" fontId="53" fillId="0" borderId="48" xfId="181" applyNumberFormat="1" applyFont="1" applyFill="1" applyBorder="1" applyAlignment="1" applyProtection="1">
      <alignment horizontal="right" vertical="center"/>
      <protection locked="0"/>
    </xf>
    <xf numFmtId="3" fontId="44" fillId="0" borderId="44" xfId="181" applyNumberFormat="1" applyFont="1" applyFill="1" applyBorder="1" applyAlignment="1" applyProtection="1">
      <alignment horizontal="right" vertical="center"/>
      <protection locked="0"/>
    </xf>
    <xf numFmtId="49" fontId="27" fillId="17" borderId="37" xfId="181" applyNumberFormat="1" applyFont="1" applyFill="1" applyBorder="1" applyAlignment="1" applyProtection="1">
      <alignment horizontal="center" vertical="center" wrapText="1"/>
      <protection locked="0"/>
    </xf>
    <xf numFmtId="49" fontId="27" fillId="17" borderId="30" xfId="181" applyNumberFormat="1" applyFont="1" applyFill="1" applyBorder="1" applyAlignment="1" applyProtection="1">
      <alignment horizontal="center" vertical="center" wrapText="1"/>
      <protection locked="0"/>
    </xf>
    <xf numFmtId="49" fontId="27" fillId="17" borderId="68" xfId="181" applyNumberFormat="1" applyFont="1" applyFill="1" applyBorder="1" applyAlignment="1" applyProtection="1">
      <alignment horizontal="center" vertical="center" wrapText="1"/>
      <protection locked="0"/>
    </xf>
    <xf numFmtId="49" fontId="27" fillId="17" borderId="69" xfId="181" applyNumberFormat="1" applyFont="1" applyFill="1" applyBorder="1" applyAlignment="1" applyProtection="1">
      <alignment horizontal="left" vertical="center" wrapText="1"/>
      <protection locked="0"/>
    </xf>
    <xf numFmtId="3" fontId="27" fillId="18" borderId="31" xfId="181" applyNumberFormat="1" applyFont="1" applyFill="1" applyBorder="1" applyAlignment="1" applyProtection="1">
      <alignment horizontal="right" vertical="center"/>
      <protection locked="0"/>
    </xf>
    <xf numFmtId="3" fontId="27" fillId="18" borderId="30" xfId="181" applyNumberFormat="1" applyFont="1" applyFill="1" applyBorder="1" applyAlignment="1" applyProtection="1">
      <alignment horizontal="right" vertical="center"/>
      <protection locked="0"/>
    </xf>
    <xf numFmtId="3" fontId="27" fillId="18" borderId="56" xfId="181" applyNumberFormat="1" applyFont="1" applyFill="1" applyBorder="1" applyAlignment="1" applyProtection="1">
      <alignment horizontal="right" vertical="center"/>
      <protection locked="0"/>
    </xf>
    <xf numFmtId="10" fontId="27" fillId="9" borderId="3" xfId="177" applyNumberFormat="1" applyFont="1" applyFill="1" applyBorder="1" applyAlignment="1" applyProtection="1">
      <alignment horizontal="right" vertical="center"/>
      <protection locked="0"/>
    </xf>
    <xf numFmtId="49" fontId="15" fillId="16" borderId="52" xfId="181" applyNumberFormat="1" applyFont="1" applyFill="1" applyBorder="1" applyAlignment="1" applyProtection="1">
      <alignment horizontal="center" vertical="center" wrapText="1"/>
      <protection locked="0"/>
    </xf>
    <xf numFmtId="49" fontId="47" fillId="19" borderId="70" xfId="181" applyNumberFormat="1" applyFont="1" applyFill="1" applyBorder="1" applyAlignment="1" applyProtection="1">
      <alignment horizontal="center" vertical="center" wrapText="1"/>
      <protection locked="0"/>
    </xf>
    <xf numFmtId="49" fontId="47" fillId="19" borderId="71" xfId="181" applyNumberFormat="1" applyFont="1" applyFill="1" applyBorder="1" applyAlignment="1" applyProtection="1">
      <alignment horizontal="center" vertical="center" wrapText="1"/>
      <protection locked="0"/>
    </xf>
    <xf numFmtId="49" fontId="47" fillId="19" borderId="72" xfId="181" applyNumberFormat="1" applyFont="1" applyFill="1" applyBorder="1" applyAlignment="1" applyProtection="1">
      <alignment horizontal="left" vertical="center" wrapText="1"/>
      <protection locked="0"/>
    </xf>
    <xf numFmtId="3" fontId="47" fillId="20" borderId="73" xfId="181" applyNumberFormat="1" applyFont="1" applyFill="1" applyBorder="1" applyAlignment="1" applyProtection="1">
      <alignment horizontal="right" vertical="center"/>
      <protection locked="0"/>
    </xf>
    <xf numFmtId="3" fontId="47" fillId="20" borderId="70" xfId="181" applyNumberFormat="1" applyFont="1" applyFill="1" applyBorder="1" applyAlignment="1" applyProtection="1">
      <alignment horizontal="right" vertical="center"/>
      <protection locked="0"/>
    </xf>
    <xf numFmtId="3" fontId="47" fillId="20" borderId="74" xfId="181" applyNumberFormat="1" applyFont="1" applyFill="1" applyBorder="1" applyAlignment="1" applyProtection="1">
      <alignment horizontal="right" vertical="center"/>
      <protection locked="0"/>
    </xf>
    <xf numFmtId="10" fontId="27" fillId="20" borderId="75" xfId="177" applyNumberFormat="1" applyFont="1" applyFill="1" applyBorder="1" applyAlignment="1" applyProtection="1">
      <alignment horizontal="right" vertical="center"/>
      <protection locked="0"/>
    </xf>
    <xf numFmtId="3" fontId="27" fillId="0" borderId="0" xfId="181" applyNumberFormat="1" applyFont="1" applyFill="1" applyBorder="1" applyAlignment="1" applyProtection="1">
      <alignment horizontal="right" vertical="center"/>
      <protection locked="0"/>
    </xf>
    <xf numFmtId="3" fontId="27" fillId="0" borderId="77" xfId="181" applyNumberFormat="1" applyFont="1" applyFill="1" applyBorder="1" applyAlignment="1" applyProtection="1">
      <alignment horizontal="right" vertical="center"/>
      <protection locked="0"/>
    </xf>
    <xf numFmtId="3" fontId="27" fillId="0" borderId="41" xfId="181" applyNumberFormat="1" applyFont="1" applyFill="1" applyBorder="1" applyAlignment="1" applyProtection="1">
      <alignment horizontal="right" vertical="center"/>
      <protection locked="0"/>
    </xf>
    <xf numFmtId="3" fontId="27" fillId="0" borderId="78" xfId="181" applyNumberFormat="1" applyFont="1" applyFill="1" applyBorder="1" applyAlignment="1" applyProtection="1">
      <alignment horizontal="right" vertical="center"/>
      <protection locked="0"/>
    </xf>
    <xf numFmtId="10" fontId="27" fillId="0" borderId="51" xfId="177" applyNumberFormat="1" applyFont="1" applyFill="1" applyBorder="1" applyAlignment="1" applyProtection="1">
      <alignment horizontal="right" vertical="center"/>
      <protection locked="0"/>
    </xf>
    <xf numFmtId="3" fontId="15" fillId="0" borderId="47" xfId="181" applyNumberFormat="1" applyFont="1" applyFill="1" applyBorder="1" applyAlignment="1" applyProtection="1">
      <alignment vertical="center"/>
      <protection locked="0"/>
    </xf>
    <xf numFmtId="3" fontId="15" fillId="0" borderId="46" xfId="181" applyNumberFormat="1" applyFont="1" applyFill="1" applyBorder="1" applyAlignment="1" applyProtection="1">
      <alignment vertical="center"/>
      <protection locked="0"/>
    </xf>
    <xf numFmtId="3" fontId="15" fillId="0" borderId="19" xfId="181" applyNumberFormat="1" applyFont="1" applyFill="1" applyBorder="1" applyAlignment="1" applyProtection="1">
      <alignment vertical="center"/>
      <protection locked="0"/>
    </xf>
    <xf numFmtId="10" fontId="15" fillId="0" borderId="46" xfId="177" applyNumberFormat="1" applyFont="1" applyFill="1" applyBorder="1" applyAlignment="1" applyProtection="1">
      <alignment horizontal="right" vertical="center"/>
      <protection locked="0"/>
    </xf>
    <xf numFmtId="3" fontId="48" fillId="0" borderId="47" xfId="181" applyNumberFormat="1" applyFont="1" applyFill="1" applyBorder="1" applyAlignment="1" applyProtection="1">
      <alignment horizontal="right" vertical="center"/>
      <protection locked="0"/>
    </xf>
    <xf numFmtId="3" fontId="48" fillId="0" borderId="80" xfId="181" applyNumberFormat="1" applyFont="1" applyFill="1" applyBorder="1" applyAlignment="1" applyProtection="1">
      <alignment horizontal="right" vertical="center"/>
      <protection locked="0"/>
    </xf>
    <xf numFmtId="3" fontId="48" fillId="0" borderId="81" xfId="181" applyNumberFormat="1" applyFont="1" applyFill="1" applyBorder="1" applyAlignment="1" applyProtection="1">
      <alignment horizontal="right" vertical="center"/>
      <protection locked="0"/>
    </xf>
    <xf numFmtId="10" fontId="48" fillId="0" borderId="80" xfId="177" applyNumberFormat="1" applyFont="1" applyFill="1" applyBorder="1" applyAlignment="1" applyProtection="1">
      <alignment horizontal="right" vertical="center"/>
      <protection locked="0"/>
    </xf>
    <xf numFmtId="49" fontId="15" fillId="16" borderId="39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82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83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47" xfId="181" applyNumberFormat="1" applyFont="1" applyFill="1" applyBorder="1" applyAlignment="1" applyProtection="1">
      <alignment horizontal="right" vertical="center"/>
      <protection locked="0"/>
    </xf>
    <xf numFmtId="3" fontId="15" fillId="0" borderId="80" xfId="181" applyNumberFormat="1" applyFont="1" applyFill="1" applyBorder="1" applyAlignment="1" applyProtection="1">
      <alignment horizontal="right" vertical="center"/>
      <protection locked="0"/>
    </xf>
    <xf numFmtId="3" fontId="15" fillId="0" borderId="2" xfId="182" applyNumberFormat="1" applyFont="1" applyBorder="1" applyAlignment="1">
      <alignment horizontal="right" vertical="center"/>
    </xf>
    <xf numFmtId="10" fontId="15" fillId="0" borderId="80" xfId="177" applyNumberFormat="1" applyFont="1" applyFill="1" applyBorder="1" applyAlignment="1" applyProtection="1">
      <alignment horizontal="right" vertical="center"/>
      <protection locked="0"/>
    </xf>
    <xf numFmtId="49" fontId="15" fillId="16" borderId="84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85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86" xfId="181" applyNumberFormat="1" applyFont="1" applyFill="1" applyBorder="1" applyAlignment="1" applyProtection="1">
      <alignment horizontal="right" vertical="center"/>
      <protection locked="0"/>
    </xf>
    <xf numFmtId="3" fontId="15" fillId="0" borderId="87" xfId="182" applyNumberFormat="1" applyFont="1" applyBorder="1" applyAlignment="1">
      <alignment horizontal="right" vertical="center"/>
    </xf>
    <xf numFmtId="3" fontId="15" fillId="0" borderId="19" xfId="181" applyNumberFormat="1" applyFont="1" applyFill="1" applyBorder="1" applyAlignment="1" applyProtection="1">
      <alignment horizontal="right" vertical="center"/>
      <protection locked="0"/>
    </xf>
    <xf numFmtId="49" fontId="15" fillId="16" borderId="88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88" xfId="181" applyNumberFormat="1" applyFont="1" applyFill="1" applyBorder="1" applyAlignment="1" applyProtection="1">
      <alignment horizontal="left" vertical="center" wrapText="1"/>
      <protection locked="0"/>
    </xf>
    <xf numFmtId="3" fontId="48" fillId="0" borderId="86" xfId="181" applyNumberFormat="1" applyFont="1" applyFill="1" applyBorder="1" applyAlignment="1" applyProtection="1">
      <alignment horizontal="right" vertical="center"/>
      <protection locked="0"/>
    </xf>
    <xf numFmtId="3" fontId="48" fillId="0" borderId="19" xfId="181" applyNumberFormat="1" applyFont="1" applyFill="1" applyBorder="1" applyAlignment="1" applyProtection="1">
      <alignment horizontal="right" vertical="center"/>
      <protection locked="0"/>
    </xf>
    <xf numFmtId="3" fontId="92" fillId="0" borderId="91" xfId="183" applyNumberFormat="1" applyFont="1" applyBorder="1" applyAlignment="1">
      <alignment horizontal="right" vertical="center"/>
    </xf>
    <xf numFmtId="49" fontId="15" fillId="16" borderId="92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93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94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95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77" xfId="181" applyNumberFormat="1" applyFont="1" applyFill="1" applyBorder="1" applyAlignment="1" applyProtection="1">
      <alignment horizontal="right" vertical="center"/>
      <protection locked="0"/>
    </xf>
    <xf numFmtId="3" fontId="15" fillId="0" borderId="41" xfId="181" applyNumberFormat="1" applyFont="1" applyFill="1" applyBorder="1" applyAlignment="1" applyProtection="1">
      <alignment horizontal="right" vertical="center"/>
      <protection locked="0"/>
    </xf>
    <xf numFmtId="3" fontId="15" fillId="0" borderId="21" xfId="181" applyNumberFormat="1" applyFont="1" applyFill="1" applyBorder="1" applyAlignment="1" applyProtection="1">
      <alignment horizontal="right" vertical="center"/>
      <protection locked="0"/>
    </xf>
    <xf numFmtId="10" fontId="15" fillId="0" borderId="41" xfId="177" applyNumberFormat="1" applyFont="1" applyFill="1" applyBorder="1" applyAlignment="1" applyProtection="1">
      <alignment horizontal="right" vertical="center"/>
      <protection locked="0"/>
    </xf>
    <xf numFmtId="49" fontId="15" fillId="16" borderId="52" xfId="181" applyNumberFormat="1" applyFont="1" applyFill="1" applyBorder="1" applyAlignment="1" applyProtection="1">
      <alignment vertical="center" wrapText="1"/>
      <protection locked="0"/>
    </xf>
    <xf numFmtId="3" fontId="15" fillId="0" borderId="96" xfId="181" applyNumberFormat="1" applyFont="1" applyFill="1" applyBorder="1" applyAlignment="1" applyProtection="1">
      <alignment horizontal="right" vertical="center"/>
      <protection locked="0"/>
    </xf>
    <xf numFmtId="3" fontId="15" fillId="0" borderId="97" xfId="181" applyNumberFormat="1" applyFont="1" applyFill="1" applyBorder="1" applyAlignment="1" applyProtection="1">
      <alignment horizontal="right" vertical="center"/>
      <protection locked="0"/>
    </xf>
    <xf numFmtId="3" fontId="15" fillId="0" borderId="52" xfId="181" applyNumberFormat="1" applyFont="1" applyFill="1" applyBorder="1" applyAlignment="1" applyProtection="1">
      <alignment horizontal="right" vertical="center"/>
      <protection locked="0"/>
    </xf>
    <xf numFmtId="3" fontId="27" fillId="0" borderId="100" xfId="181" applyNumberFormat="1" applyFont="1" applyFill="1" applyBorder="1" applyAlignment="1" applyProtection="1">
      <alignment horizontal="right" vertical="center"/>
      <protection locked="0"/>
    </xf>
    <xf numFmtId="3" fontId="27" fillId="0" borderId="80" xfId="181" applyNumberFormat="1" applyFont="1" applyFill="1" applyBorder="1" applyAlignment="1" applyProtection="1">
      <alignment horizontal="right" vertical="center"/>
      <protection locked="0"/>
    </xf>
    <xf numFmtId="3" fontId="27" fillId="0" borderId="97" xfId="181" applyNumberFormat="1" applyFont="1" applyFill="1" applyBorder="1" applyAlignment="1" applyProtection="1">
      <alignment horizontal="right" vertical="center"/>
      <protection locked="0"/>
    </xf>
    <xf numFmtId="10" fontId="27" fillId="0" borderId="80" xfId="177" applyNumberFormat="1" applyFont="1" applyFill="1" applyBorder="1" applyAlignment="1" applyProtection="1">
      <alignment horizontal="right" vertical="center"/>
      <protection locked="0"/>
    </xf>
    <xf numFmtId="49" fontId="15" fillId="16" borderId="101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02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55" xfId="181" applyNumberFormat="1" applyFont="1" applyFill="1" applyBorder="1" applyAlignment="1" applyProtection="1">
      <alignment horizontal="right" vertical="center"/>
      <protection locked="0"/>
    </xf>
    <xf numFmtId="49" fontId="47" fillId="19" borderId="103" xfId="181" applyNumberFormat="1" applyFont="1" applyFill="1" applyBorder="1" applyAlignment="1" applyProtection="1">
      <alignment horizontal="center" vertical="center" wrapText="1"/>
      <protection locked="0"/>
    </xf>
    <xf numFmtId="49" fontId="47" fillId="19" borderId="104" xfId="181" applyNumberFormat="1" applyFont="1" applyFill="1" applyBorder="1" applyAlignment="1" applyProtection="1">
      <alignment horizontal="center" vertical="center" wrapText="1"/>
      <protection locked="0"/>
    </xf>
    <xf numFmtId="49" fontId="47" fillId="19" borderId="105" xfId="181" applyNumberFormat="1" applyFont="1" applyFill="1" applyBorder="1" applyAlignment="1" applyProtection="1">
      <alignment horizontal="left" vertical="center" wrapText="1"/>
      <protection locked="0"/>
    </xf>
    <xf numFmtId="3" fontId="47" fillId="20" borderId="106" xfId="181" applyNumberFormat="1" applyFont="1" applyFill="1" applyBorder="1" applyAlignment="1" applyProtection="1">
      <alignment horizontal="right" vertical="center"/>
      <protection locked="0"/>
    </xf>
    <xf numFmtId="49" fontId="15" fillId="0" borderId="39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0" xfId="181" applyNumberFormat="1" applyFont="1" applyFill="1" applyBorder="1" applyAlignment="1" applyProtection="1">
      <alignment vertical="center" wrapText="1"/>
      <protection locked="0"/>
    </xf>
    <xf numFmtId="49" fontId="15" fillId="16" borderId="86" xfId="181" applyNumberFormat="1" applyFont="1" applyFill="1" applyBorder="1" applyAlignment="1" applyProtection="1">
      <alignment vertical="center" wrapText="1"/>
      <protection locked="0"/>
    </xf>
    <xf numFmtId="49" fontId="15" fillId="16" borderId="107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08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109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10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111" xfId="181" applyNumberFormat="1" applyFont="1" applyFill="1" applyBorder="1" applyAlignment="1" applyProtection="1">
      <alignment horizontal="right" vertical="center"/>
      <protection locked="0"/>
    </xf>
    <xf numFmtId="3" fontId="15" fillId="0" borderId="81" xfId="181" applyNumberFormat="1" applyFont="1" applyFill="1" applyBorder="1" applyAlignment="1" applyProtection="1">
      <alignment horizontal="right" vertical="center"/>
      <protection locked="0"/>
    </xf>
    <xf numFmtId="49" fontId="15" fillId="16" borderId="112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13" xfId="181" applyNumberFormat="1" applyFont="1" applyFill="1" applyBorder="1" applyAlignment="1" applyProtection="1">
      <alignment horizontal="left" vertical="center" wrapText="1"/>
      <protection locked="0"/>
    </xf>
    <xf numFmtId="3" fontId="47" fillId="20" borderId="114" xfId="181" applyNumberFormat="1" applyFont="1" applyFill="1" applyBorder="1" applyAlignment="1" applyProtection="1">
      <alignment horizontal="right" vertical="center"/>
      <protection locked="0"/>
    </xf>
    <xf numFmtId="0" fontId="93" fillId="0" borderId="0" xfId="0" applyFont="1" applyAlignment="1">
      <alignment vertical="center"/>
    </xf>
    <xf numFmtId="0" fontId="93" fillId="0" borderId="52" xfId="0" applyFont="1" applyBorder="1" applyAlignment="1">
      <alignment vertical="center"/>
    </xf>
    <xf numFmtId="49" fontId="15" fillId="16" borderId="116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17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118" xfId="181" applyNumberFormat="1" applyFont="1" applyFill="1" applyBorder="1" applyAlignment="1" applyProtection="1">
      <alignment horizontal="right" vertical="center"/>
      <protection locked="0"/>
    </xf>
    <xf numFmtId="49" fontId="15" fillId="16" borderId="119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20" xfId="181" applyNumberFormat="1" applyFont="1" applyFill="1" applyBorder="1" applyAlignment="1" applyProtection="1">
      <alignment vertical="center" wrapText="1"/>
      <protection locked="0"/>
    </xf>
    <xf numFmtId="3" fontId="15" fillId="16" borderId="52" xfId="181" applyNumberFormat="1" applyFont="1" applyFill="1" applyBorder="1" applyAlignment="1" applyProtection="1">
      <alignment horizontal="right" vertical="center" wrapText="1"/>
      <protection locked="0"/>
    </xf>
    <xf numFmtId="3" fontId="15" fillId="16" borderId="120" xfId="181" applyNumberFormat="1" applyFont="1" applyFill="1" applyBorder="1" applyAlignment="1" applyProtection="1">
      <alignment horizontal="right" vertical="center" wrapText="1"/>
      <protection locked="0"/>
    </xf>
    <xf numFmtId="3" fontId="27" fillId="0" borderId="120" xfId="181" applyNumberFormat="1" applyFont="1" applyFill="1" applyBorder="1" applyAlignment="1" applyProtection="1">
      <alignment horizontal="right" vertical="center"/>
      <protection locked="0"/>
    </xf>
    <xf numFmtId="49" fontId="15" fillId="16" borderId="124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125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9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126" xfId="181" applyNumberFormat="1" applyFont="1" applyFill="1" applyBorder="1" applyAlignment="1" applyProtection="1">
      <alignment horizontal="center" vertical="center" wrapText="1"/>
      <protection locked="0"/>
    </xf>
    <xf numFmtId="0" fontId="15" fillId="0" borderId="102" xfId="0" applyFont="1" applyBorder="1" applyAlignment="1">
      <alignment horizontal="left" vertical="center" wrapText="1"/>
    </xf>
    <xf numFmtId="3" fontId="15" fillId="0" borderId="58" xfId="181" applyNumberFormat="1" applyFont="1" applyFill="1" applyBorder="1" applyAlignment="1" applyProtection="1">
      <alignment horizontal="right" vertical="center"/>
      <protection locked="0"/>
    </xf>
    <xf numFmtId="3" fontId="15" fillId="0" borderId="127" xfId="181" applyNumberFormat="1" applyFont="1" applyFill="1" applyBorder="1" applyAlignment="1" applyProtection="1">
      <alignment horizontal="right" vertical="center"/>
      <protection locked="0"/>
    </xf>
    <xf numFmtId="3" fontId="15" fillId="0" borderId="45" xfId="181" applyNumberFormat="1" applyFont="1" applyFill="1" applyBorder="1" applyAlignment="1" applyProtection="1">
      <alignment horizontal="right" vertical="center"/>
      <protection locked="0"/>
    </xf>
    <xf numFmtId="10" fontId="15" fillId="0" borderId="127" xfId="177" applyNumberFormat="1" applyFont="1" applyFill="1" applyBorder="1" applyAlignment="1" applyProtection="1">
      <alignment horizontal="right" vertical="center"/>
      <protection locked="0"/>
    </xf>
    <xf numFmtId="49" fontId="47" fillId="19" borderId="128" xfId="181" applyNumberFormat="1" applyFont="1" applyFill="1" applyBorder="1" applyAlignment="1" applyProtection="1">
      <alignment horizontal="center" vertical="center" wrapText="1"/>
      <protection locked="0"/>
    </xf>
    <xf numFmtId="49" fontId="47" fillId="19" borderId="129" xfId="181" applyNumberFormat="1" applyFont="1" applyFill="1" applyBorder="1" applyAlignment="1" applyProtection="1">
      <alignment horizontal="center" vertical="center" wrapText="1"/>
      <protection locked="0"/>
    </xf>
    <xf numFmtId="49" fontId="47" fillId="19" borderId="130" xfId="181" applyNumberFormat="1" applyFont="1" applyFill="1" applyBorder="1" applyAlignment="1" applyProtection="1">
      <alignment horizontal="left" vertical="center" wrapText="1"/>
      <protection locked="0"/>
    </xf>
    <xf numFmtId="3" fontId="47" fillId="20" borderId="131" xfId="181" applyNumberFormat="1" applyFont="1" applyFill="1" applyBorder="1" applyAlignment="1" applyProtection="1">
      <alignment horizontal="right" vertical="center"/>
      <protection locked="0"/>
    </xf>
    <xf numFmtId="3" fontId="47" fillId="20" borderId="128" xfId="181" applyNumberFormat="1" applyFont="1" applyFill="1" applyBorder="1" applyAlignment="1" applyProtection="1">
      <alignment horizontal="right" vertical="center"/>
      <protection locked="0"/>
    </xf>
    <xf numFmtId="3" fontId="47" fillId="20" borderId="132" xfId="181" applyNumberFormat="1" applyFont="1" applyFill="1" applyBorder="1" applyAlignment="1" applyProtection="1">
      <alignment horizontal="right" vertical="center"/>
      <protection locked="0"/>
    </xf>
    <xf numFmtId="10" fontId="27" fillId="20" borderId="128" xfId="177" applyNumberFormat="1" applyFont="1" applyFill="1" applyBorder="1" applyAlignment="1" applyProtection="1">
      <alignment horizontal="right" vertical="center"/>
      <protection locked="0"/>
    </xf>
    <xf numFmtId="0" fontId="93" fillId="2" borderId="30" xfId="0" applyFont="1" applyFill="1" applyBorder="1" applyAlignment="1">
      <alignment vertical="center" wrapText="1"/>
    </xf>
    <xf numFmtId="3" fontId="27" fillId="0" borderId="135" xfId="181" applyNumberFormat="1" applyFont="1" applyFill="1" applyBorder="1" applyAlignment="1" applyProtection="1">
      <alignment horizontal="right" vertical="center"/>
      <protection locked="0"/>
    </xf>
    <xf numFmtId="10" fontId="27" fillId="0" borderId="41" xfId="177" applyNumberFormat="1" applyFont="1" applyFill="1" applyBorder="1" applyAlignment="1" applyProtection="1">
      <alignment horizontal="right" vertical="center"/>
      <protection locked="0"/>
    </xf>
    <xf numFmtId="0" fontId="93" fillId="2" borderId="39" xfId="0" applyFont="1" applyFill="1" applyBorder="1" applyAlignment="1">
      <alignment vertical="center" wrapText="1"/>
    </xf>
    <xf numFmtId="3" fontId="15" fillId="0" borderId="22" xfId="181" applyNumberFormat="1" applyFont="1" applyFill="1" applyBorder="1" applyAlignment="1" applyProtection="1">
      <alignment horizontal="right" vertical="center"/>
      <protection locked="0"/>
    </xf>
    <xf numFmtId="49" fontId="15" fillId="0" borderId="1" xfId="181" applyNumberFormat="1" applyFont="1" applyFill="1" applyBorder="1" applyAlignment="1" applyProtection="1">
      <alignment horizontal="center" vertical="center" wrapText="1"/>
      <protection locked="0"/>
    </xf>
    <xf numFmtId="2" fontId="15" fillId="0" borderId="136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125" xfId="181" applyNumberFormat="1" applyFont="1" applyFill="1" applyBorder="1" applyAlignment="1" applyProtection="1">
      <alignment horizontal="center" vertical="center" wrapText="1"/>
      <protection locked="0"/>
    </xf>
    <xf numFmtId="2" fontId="15" fillId="0" borderId="78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34" xfId="181" applyNumberFormat="1" applyFont="1" applyFill="1" applyBorder="1" applyAlignment="1" applyProtection="1">
      <alignment horizontal="center" vertical="center" wrapText="1"/>
      <protection locked="0"/>
    </xf>
    <xf numFmtId="0" fontId="93" fillId="2" borderId="33" xfId="0" applyFont="1" applyFill="1" applyBorder="1" applyAlignment="1">
      <alignment vertical="center" wrapText="1"/>
    </xf>
    <xf numFmtId="49" fontId="15" fillId="0" borderId="137" xfId="181" applyNumberFormat="1" applyFont="1" applyFill="1" applyBorder="1" applyAlignment="1" applyProtection="1">
      <alignment horizontal="center" vertical="center" wrapText="1"/>
      <protection locked="0"/>
    </xf>
    <xf numFmtId="2" fontId="15" fillId="0" borderId="29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34" xfId="181" applyNumberFormat="1" applyFont="1" applyFill="1" applyBorder="1" applyAlignment="1" applyProtection="1">
      <alignment horizontal="right" vertical="center"/>
      <protection locked="0"/>
    </xf>
    <xf numFmtId="3" fontId="15" fillId="0" borderId="33" xfId="181" applyNumberFormat="1" applyFont="1" applyFill="1" applyBorder="1" applyAlignment="1" applyProtection="1">
      <alignment horizontal="right" vertical="center"/>
      <protection locked="0"/>
    </xf>
    <xf numFmtId="3" fontId="15" fillId="0" borderId="29" xfId="181" applyNumberFormat="1" applyFont="1" applyFill="1" applyBorder="1" applyAlignment="1" applyProtection="1">
      <alignment horizontal="right" vertical="center"/>
      <protection locked="0"/>
    </xf>
    <xf numFmtId="10" fontId="15" fillId="0" borderId="33" xfId="177" applyNumberFormat="1" applyFont="1" applyFill="1" applyBorder="1" applyAlignment="1" applyProtection="1">
      <alignment horizontal="right" vertical="center"/>
      <protection locked="0"/>
    </xf>
    <xf numFmtId="49" fontId="15" fillId="16" borderId="30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38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39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140" xfId="181" applyNumberFormat="1" applyFont="1" applyFill="1" applyBorder="1" applyAlignment="1" applyProtection="1">
      <alignment horizontal="right" vertical="center"/>
      <protection locked="0"/>
    </xf>
    <xf numFmtId="3" fontId="15" fillId="0" borderId="51" xfId="181" applyNumberFormat="1" applyFont="1" applyFill="1" applyBorder="1" applyAlignment="1" applyProtection="1">
      <alignment horizontal="right" vertical="center"/>
      <protection locked="0"/>
    </xf>
    <xf numFmtId="3" fontId="15" fillId="0" borderId="40" xfId="181" applyNumberFormat="1" applyFont="1" applyFill="1" applyBorder="1" applyAlignment="1" applyProtection="1">
      <alignment horizontal="right" vertical="center"/>
      <protection locked="0"/>
    </xf>
    <xf numFmtId="10" fontId="15" fillId="0" borderId="51" xfId="177" applyNumberFormat="1" applyFont="1" applyFill="1" applyBorder="1" applyAlignment="1" applyProtection="1">
      <alignment horizontal="right" vertical="center"/>
      <protection locked="0"/>
    </xf>
    <xf numFmtId="49" fontId="15" fillId="16" borderId="141" xfId="181" applyNumberFormat="1" applyFont="1" applyFill="1" applyBorder="1" applyAlignment="1" applyProtection="1">
      <alignment horizontal="left" vertical="center" wrapText="1"/>
      <protection locked="0"/>
    </xf>
    <xf numFmtId="0" fontId="93" fillId="2" borderId="39" xfId="0" applyFont="1" applyFill="1" applyBorder="1" applyAlignment="1">
      <alignment horizontal="center" vertical="center" wrapText="1"/>
    </xf>
    <xf numFmtId="49" fontId="15" fillId="16" borderId="142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0" xfId="181" applyNumberFormat="1" applyFont="1" applyFill="1" applyBorder="1" applyAlignment="1" applyProtection="1">
      <alignment horizontal="left" vertical="center" wrapText="1"/>
      <protection locked="0"/>
    </xf>
    <xf numFmtId="0" fontId="93" fillId="2" borderId="33" xfId="0" applyFont="1" applyFill="1" applyBorder="1" applyAlignment="1">
      <alignment horizontal="center" vertical="center" wrapText="1"/>
    </xf>
    <xf numFmtId="49" fontId="15" fillId="16" borderId="143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44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54" xfId="181" applyNumberFormat="1" applyFont="1" applyFill="1" applyBorder="1" applyAlignment="1" applyProtection="1">
      <alignment horizontal="right" vertical="center"/>
      <protection locked="0"/>
    </xf>
    <xf numFmtId="3" fontId="15" fillId="0" borderId="53" xfId="181" applyNumberFormat="1" applyFont="1" applyFill="1" applyBorder="1" applyAlignment="1" applyProtection="1">
      <alignment horizontal="right" vertical="center"/>
      <protection locked="0"/>
    </xf>
    <xf numFmtId="10" fontId="15" fillId="0" borderId="54" xfId="177" applyNumberFormat="1" applyFont="1" applyFill="1" applyBorder="1" applyAlignment="1" applyProtection="1">
      <alignment horizontal="right" vertical="center"/>
      <protection locked="0"/>
    </xf>
    <xf numFmtId="49" fontId="47" fillId="19" borderId="33" xfId="181" applyNumberFormat="1" applyFont="1" applyFill="1" applyBorder="1" applyAlignment="1" applyProtection="1">
      <alignment horizontal="center" vertical="center" wrapText="1"/>
      <protection locked="0"/>
    </xf>
    <xf numFmtId="49" fontId="47" fillId="19" borderId="145" xfId="181" applyNumberFormat="1" applyFont="1" applyFill="1" applyBorder="1" applyAlignment="1" applyProtection="1">
      <alignment horizontal="center" vertical="center" wrapText="1"/>
      <protection locked="0"/>
    </xf>
    <xf numFmtId="49" fontId="47" fillId="19" borderId="146" xfId="181" applyNumberFormat="1" applyFont="1" applyFill="1" applyBorder="1" applyAlignment="1" applyProtection="1">
      <alignment horizontal="left" vertical="center" wrapText="1"/>
      <protection locked="0"/>
    </xf>
    <xf numFmtId="3" fontId="47" fillId="20" borderId="34" xfId="181" applyNumberFormat="1" applyFont="1" applyFill="1" applyBorder="1" applyAlignment="1" applyProtection="1">
      <alignment horizontal="right" vertical="center"/>
      <protection locked="0"/>
    </xf>
    <xf numFmtId="3" fontId="47" fillId="20" borderId="33" xfId="181" applyNumberFormat="1" applyFont="1" applyFill="1" applyBorder="1" applyAlignment="1" applyProtection="1">
      <alignment horizontal="right" vertical="center"/>
      <protection locked="0"/>
    </xf>
    <xf numFmtId="3" fontId="47" fillId="20" borderId="35" xfId="181" applyNumberFormat="1" applyFont="1" applyFill="1" applyBorder="1" applyAlignment="1" applyProtection="1">
      <alignment horizontal="right" vertical="center"/>
      <protection locked="0"/>
    </xf>
    <xf numFmtId="10" fontId="27" fillId="20" borderId="33" xfId="177" applyNumberFormat="1" applyFont="1" applyFill="1" applyBorder="1" applyAlignment="1" applyProtection="1">
      <alignment horizontal="right" vertical="center"/>
      <protection locked="0"/>
    </xf>
    <xf numFmtId="49" fontId="15" fillId="0" borderId="39" xfId="181" applyNumberFormat="1" applyFont="1" applyFill="1" applyBorder="1" applyAlignment="1" applyProtection="1">
      <alignment vertical="center" wrapText="1"/>
      <protection locked="0"/>
    </xf>
    <xf numFmtId="3" fontId="27" fillId="0" borderId="43" xfId="181" applyNumberFormat="1" applyFont="1" applyFill="1" applyBorder="1" applyAlignment="1" applyProtection="1">
      <alignment horizontal="right" vertical="center"/>
      <protection locked="0"/>
    </xf>
    <xf numFmtId="3" fontId="15" fillId="0" borderId="121" xfId="181" applyNumberFormat="1" applyFont="1" applyFill="1" applyBorder="1" applyAlignment="1" applyProtection="1">
      <alignment horizontal="right" vertical="center"/>
      <protection locked="0"/>
    </xf>
    <xf numFmtId="3" fontId="48" fillId="0" borderId="22" xfId="181" applyNumberFormat="1" applyFont="1" applyFill="1" applyBorder="1" applyAlignment="1" applyProtection="1">
      <alignment horizontal="right" vertical="center"/>
      <protection locked="0"/>
    </xf>
    <xf numFmtId="3" fontId="15" fillId="0" borderId="78" xfId="181" applyNumberFormat="1" applyFont="1" applyFill="1" applyBorder="1" applyAlignment="1" applyProtection="1">
      <alignment horizontal="right" vertical="center"/>
      <protection locked="0"/>
    </xf>
    <xf numFmtId="3" fontId="27" fillId="0" borderId="86" xfId="181" applyNumberFormat="1" applyFont="1" applyFill="1" applyBorder="1" applyAlignment="1" applyProtection="1">
      <alignment horizontal="right" vertical="center"/>
      <protection locked="0"/>
    </xf>
    <xf numFmtId="3" fontId="27" fillId="0" borderId="121" xfId="181" applyNumberFormat="1" applyFont="1" applyFill="1" applyBorder="1" applyAlignment="1" applyProtection="1">
      <alignment horizontal="right" vertical="center"/>
      <protection locked="0"/>
    </xf>
    <xf numFmtId="49" fontId="15" fillId="16" borderId="148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52" xfId="181" applyNumberFormat="1" applyFont="1" applyFill="1" applyBorder="1" applyAlignment="1" applyProtection="1">
      <alignment horizontal="center" vertical="center" wrapText="1"/>
      <protection locked="0"/>
    </xf>
    <xf numFmtId="49" fontId="54" fillId="19" borderId="33" xfId="181" applyNumberFormat="1" applyFont="1" applyFill="1" applyBorder="1" applyAlignment="1" applyProtection="1">
      <alignment horizontal="center" vertical="center" wrapText="1"/>
      <protection locked="0"/>
    </xf>
    <xf numFmtId="49" fontId="54" fillId="19" borderId="145" xfId="181" applyNumberFormat="1" applyFont="1" applyFill="1" applyBorder="1" applyAlignment="1" applyProtection="1">
      <alignment horizontal="center" vertical="center" wrapText="1"/>
      <protection locked="0"/>
    </xf>
    <xf numFmtId="49" fontId="54" fillId="19" borderId="146" xfId="181" applyNumberFormat="1" applyFont="1" applyFill="1" applyBorder="1" applyAlignment="1" applyProtection="1">
      <alignment horizontal="left" vertical="center" wrapText="1"/>
      <protection locked="0"/>
    </xf>
    <xf numFmtId="3" fontId="54" fillId="20" borderId="34" xfId="181" applyNumberFormat="1" applyFont="1" applyFill="1" applyBorder="1" applyAlignment="1" applyProtection="1">
      <alignment horizontal="right" vertical="center"/>
      <protection locked="0"/>
    </xf>
    <xf numFmtId="3" fontId="53" fillId="0" borderId="80" xfId="181" applyNumberFormat="1" applyFont="1" applyFill="1" applyBorder="1" applyAlignment="1" applyProtection="1">
      <alignment horizontal="right" vertical="center"/>
      <protection locked="0"/>
    </xf>
    <xf numFmtId="3" fontId="53" fillId="0" borderId="81" xfId="181" applyNumberFormat="1" applyFont="1" applyFill="1" applyBorder="1" applyAlignment="1" applyProtection="1">
      <alignment horizontal="right" vertical="center"/>
      <protection locked="0"/>
    </xf>
    <xf numFmtId="10" fontId="53" fillId="0" borderId="80" xfId="177" applyNumberFormat="1" applyFont="1" applyFill="1" applyBorder="1" applyAlignment="1" applyProtection="1">
      <alignment horizontal="right" vertical="center"/>
      <protection locked="0"/>
    </xf>
    <xf numFmtId="49" fontId="53" fillId="0" borderId="39" xfId="181" applyNumberFormat="1" applyFont="1" applyFill="1" applyBorder="1" applyAlignment="1" applyProtection="1">
      <alignment horizontal="center" vertical="center" wrapText="1"/>
      <protection locked="0"/>
    </xf>
    <xf numFmtId="3" fontId="53" fillId="0" borderId="42" xfId="181" applyNumberFormat="1" applyFont="1" applyFill="1" applyBorder="1" applyAlignment="1" applyProtection="1">
      <alignment horizontal="right" vertical="center"/>
      <protection locked="0"/>
    </xf>
    <xf numFmtId="3" fontId="53" fillId="0" borderId="86" xfId="181" applyNumberFormat="1" applyFont="1" applyFill="1" applyBorder="1" applyAlignment="1" applyProtection="1">
      <alignment horizontal="right" vertical="center"/>
      <protection locked="0"/>
    </xf>
    <xf numFmtId="3" fontId="53" fillId="0" borderId="19" xfId="181" applyNumberFormat="1" applyFont="1" applyFill="1" applyBorder="1" applyAlignment="1" applyProtection="1">
      <alignment horizontal="right" vertical="center"/>
      <protection locked="0"/>
    </xf>
    <xf numFmtId="49" fontId="53" fillId="16" borderId="92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124" xfId="181" applyNumberFormat="1" applyFont="1" applyFill="1" applyBorder="1" applyAlignment="1" applyProtection="1">
      <alignment horizontal="left" vertical="center" wrapText="1"/>
      <protection locked="0"/>
    </xf>
    <xf numFmtId="3" fontId="53" fillId="0" borderId="55" xfId="181" applyNumberFormat="1" applyFont="1" applyFill="1" applyBorder="1" applyAlignment="1" applyProtection="1">
      <alignment horizontal="right" vertical="center"/>
      <protection locked="0"/>
    </xf>
    <xf numFmtId="10" fontId="53" fillId="0" borderId="127" xfId="177" applyNumberFormat="1" applyFont="1" applyFill="1" applyBorder="1" applyAlignment="1" applyProtection="1">
      <alignment horizontal="right" vertical="center"/>
      <protection locked="0"/>
    </xf>
    <xf numFmtId="3" fontId="27" fillId="0" borderId="42" xfId="181" applyNumberFormat="1" applyFont="1" applyFill="1" applyBorder="1" applyAlignment="1" applyProtection="1">
      <alignment horizontal="right" vertical="center"/>
      <protection locked="0"/>
    </xf>
    <xf numFmtId="49" fontId="15" fillId="0" borderId="84" xfId="181" applyNumberFormat="1" applyFont="1" applyFill="1" applyBorder="1" applyAlignment="1" applyProtection="1">
      <alignment horizontal="center" vertical="center" wrapText="1"/>
      <protection locked="0"/>
    </xf>
    <xf numFmtId="0" fontId="15" fillId="0" borderId="85" xfId="0" applyFont="1" applyBorder="1" applyAlignment="1">
      <alignment vertical="center" wrapText="1"/>
    </xf>
    <xf numFmtId="49" fontId="15" fillId="0" borderId="150" xfId="181" applyNumberFormat="1" applyFont="1" applyFill="1" applyBorder="1" applyAlignment="1" applyProtection="1">
      <alignment horizontal="center" vertical="center" wrapText="1"/>
      <protection locked="0"/>
    </xf>
    <xf numFmtId="0" fontId="15" fillId="0" borderId="88" xfId="0" applyFont="1" applyBorder="1" applyAlignment="1">
      <alignment vertical="center" wrapText="1"/>
    </xf>
    <xf numFmtId="3" fontId="48" fillId="0" borderId="77" xfId="181" applyNumberFormat="1" applyFont="1" applyFill="1" applyBorder="1" applyAlignment="1" applyProtection="1">
      <alignment horizontal="right" vertical="center"/>
      <protection locked="0"/>
    </xf>
    <xf numFmtId="3" fontId="48" fillId="0" borderId="41" xfId="181" applyNumberFormat="1" applyFont="1" applyFill="1" applyBorder="1" applyAlignment="1" applyProtection="1">
      <alignment horizontal="right" vertical="center"/>
      <protection locked="0"/>
    </xf>
    <xf numFmtId="3" fontId="48" fillId="0" borderId="135" xfId="181" applyNumberFormat="1" applyFont="1" applyFill="1" applyBorder="1" applyAlignment="1" applyProtection="1">
      <alignment horizontal="right" vertical="center"/>
      <protection locked="0"/>
    </xf>
    <xf numFmtId="10" fontId="48" fillId="0" borderId="41" xfId="177" applyNumberFormat="1" applyFont="1" applyFill="1" applyBorder="1" applyAlignment="1" applyProtection="1">
      <alignment horizontal="right" vertical="center"/>
      <protection locked="0"/>
    </xf>
    <xf numFmtId="49" fontId="15" fillId="16" borderId="150" xfId="181" applyNumberFormat="1" applyFont="1" applyFill="1" applyBorder="1" applyAlignment="1" applyProtection="1">
      <alignment horizontal="center" vertical="center" wrapText="1"/>
      <protection locked="0"/>
    </xf>
    <xf numFmtId="49" fontId="15" fillId="0" borderId="33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53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154" xfId="181" applyNumberFormat="1" applyFont="1" applyFill="1" applyBorder="1" applyAlignment="1" applyProtection="1">
      <alignment horizontal="right" vertical="center"/>
      <protection locked="0"/>
    </xf>
    <xf numFmtId="49" fontId="15" fillId="16" borderId="31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55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156" xfId="181" applyNumberFormat="1" applyFont="1" applyFill="1" applyBorder="1" applyAlignment="1" applyProtection="1">
      <alignment horizontal="right" vertical="center"/>
      <protection locked="0"/>
    </xf>
    <xf numFmtId="49" fontId="15" fillId="16" borderId="151" xfId="181" applyNumberFormat="1" applyFont="1" applyFill="1" applyBorder="1" applyAlignment="1" applyProtection="1">
      <alignment vertical="center" wrapText="1"/>
      <protection locked="0"/>
    </xf>
    <xf numFmtId="49" fontId="15" fillId="16" borderId="157" xfId="181" applyNumberFormat="1" applyFont="1" applyFill="1" applyBorder="1" applyAlignment="1" applyProtection="1">
      <alignment vertical="center" wrapText="1"/>
      <protection locked="0"/>
    </xf>
    <xf numFmtId="3" fontId="15" fillId="0" borderId="43" xfId="181" applyNumberFormat="1" applyFont="1" applyFill="1" applyBorder="1" applyAlignment="1" applyProtection="1">
      <alignment horizontal="right" vertical="center"/>
      <protection locked="0"/>
    </xf>
    <xf numFmtId="49" fontId="15" fillId="16" borderId="33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58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59" xfId="181" applyNumberFormat="1" applyFont="1" applyFill="1" applyBorder="1" applyAlignment="1" applyProtection="1">
      <alignment horizontal="left" vertical="center" wrapText="1"/>
      <protection locked="0"/>
    </xf>
    <xf numFmtId="10" fontId="15" fillId="0" borderId="39" xfId="177" applyNumberFormat="1" applyFont="1" applyFill="1" applyBorder="1" applyAlignment="1" applyProtection="1">
      <alignment horizontal="right" vertical="center"/>
      <protection locked="0"/>
    </xf>
    <xf numFmtId="49" fontId="27" fillId="17" borderId="131" xfId="181" applyNumberFormat="1" applyFont="1" applyFill="1" applyBorder="1" applyAlignment="1" applyProtection="1">
      <alignment horizontal="center" vertical="center" wrapText="1"/>
      <protection locked="0"/>
    </xf>
    <xf numFmtId="49" fontId="27" fillId="17" borderId="128" xfId="181" applyNumberFormat="1" applyFont="1" applyFill="1" applyBorder="1" applyAlignment="1" applyProtection="1">
      <alignment horizontal="center" vertical="center" wrapText="1"/>
      <protection locked="0"/>
    </xf>
    <xf numFmtId="49" fontId="27" fillId="17" borderId="129" xfId="181" applyNumberFormat="1" applyFont="1" applyFill="1" applyBorder="1" applyAlignment="1" applyProtection="1">
      <alignment horizontal="center" vertical="center" wrapText="1"/>
      <protection locked="0"/>
    </xf>
    <xf numFmtId="49" fontId="27" fillId="17" borderId="130" xfId="181" applyNumberFormat="1" applyFont="1" applyFill="1" applyBorder="1" applyAlignment="1" applyProtection="1">
      <alignment horizontal="left" vertical="center" wrapText="1"/>
      <protection locked="0"/>
    </xf>
    <xf numFmtId="3" fontId="27" fillId="9" borderId="131" xfId="181" applyNumberFormat="1" applyFont="1" applyFill="1" applyBorder="1" applyAlignment="1" applyProtection="1">
      <alignment horizontal="right" vertical="center"/>
      <protection locked="0"/>
    </xf>
    <xf numFmtId="3" fontId="27" fillId="9" borderId="128" xfId="181" applyNumberFormat="1" applyFont="1" applyFill="1" applyBorder="1" applyAlignment="1" applyProtection="1">
      <alignment horizontal="right" vertical="center"/>
      <protection locked="0"/>
    </xf>
    <xf numFmtId="3" fontId="27" fillId="9" borderId="132" xfId="181" applyNumberFormat="1" applyFont="1" applyFill="1" applyBorder="1" applyAlignment="1" applyProtection="1">
      <alignment horizontal="right" vertical="center"/>
      <protection locked="0"/>
    </xf>
    <xf numFmtId="10" fontId="27" fillId="9" borderId="128" xfId="177" applyNumberFormat="1" applyFont="1" applyFill="1" applyBorder="1" applyAlignment="1" applyProtection="1">
      <alignment horizontal="right" vertical="center"/>
      <protection locked="0"/>
    </xf>
    <xf numFmtId="2" fontId="15" fillId="0" borderId="76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120" xfId="181" applyNumberFormat="1" applyFont="1" applyFill="1" applyBorder="1" applyAlignment="1" applyProtection="1">
      <alignment horizontal="right" vertical="center"/>
      <protection locked="0"/>
    </xf>
    <xf numFmtId="49" fontId="15" fillId="16" borderId="160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161" xfId="181" applyNumberFormat="1" applyFont="1" applyFill="1" applyBorder="1" applyAlignment="1" applyProtection="1">
      <alignment horizontal="right" vertical="center"/>
      <protection locked="0"/>
    </xf>
    <xf numFmtId="49" fontId="15" fillId="16" borderId="162" xfId="181" applyNumberFormat="1" applyFont="1" applyFill="1" applyBorder="1" applyAlignment="1" applyProtection="1">
      <alignment horizontal="center" vertical="center" wrapText="1"/>
      <protection locked="0"/>
    </xf>
    <xf numFmtId="3" fontId="15" fillId="0" borderId="163" xfId="181" applyNumberFormat="1" applyFont="1" applyFill="1" applyBorder="1" applyAlignment="1" applyProtection="1">
      <alignment horizontal="right" vertical="center"/>
      <protection locked="0"/>
    </xf>
    <xf numFmtId="49" fontId="15" fillId="16" borderId="164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65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160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166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67" xfId="181" applyNumberFormat="1" applyFont="1" applyFill="1" applyBorder="1" applyAlignment="1" applyProtection="1">
      <alignment horizontal="left" vertical="center" wrapText="1"/>
      <protection locked="0"/>
    </xf>
    <xf numFmtId="49" fontId="40" fillId="17" borderId="131" xfId="181" applyNumberFormat="1" applyFont="1" applyFill="1" applyBorder="1" applyAlignment="1" applyProtection="1">
      <alignment horizontal="center" vertical="center" wrapText="1"/>
      <protection locked="0"/>
    </xf>
    <xf numFmtId="49" fontId="40" fillId="17" borderId="128" xfId="181" applyNumberFormat="1" applyFont="1" applyFill="1" applyBorder="1" applyAlignment="1" applyProtection="1">
      <alignment horizontal="center" vertical="center" wrapText="1"/>
      <protection locked="0"/>
    </xf>
    <xf numFmtId="49" fontId="40" fillId="17" borderId="168" xfId="181" applyNumberFormat="1" applyFont="1" applyFill="1" applyBorder="1" applyAlignment="1" applyProtection="1">
      <alignment horizontal="center" vertical="center" wrapText="1"/>
      <protection locked="0"/>
    </xf>
    <xf numFmtId="49" fontId="40" fillId="17" borderId="169" xfId="181" applyNumberFormat="1" applyFont="1" applyFill="1" applyBorder="1" applyAlignment="1" applyProtection="1">
      <alignment horizontal="left" vertical="center" wrapText="1"/>
      <protection locked="0"/>
    </xf>
    <xf numFmtId="3" fontId="40" fillId="9" borderId="131" xfId="181" applyNumberFormat="1" applyFont="1" applyFill="1" applyBorder="1" applyAlignment="1" applyProtection="1">
      <alignment horizontal="right" vertical="center"/>
      <protection locked="0"/>
    </xf>
    <xf numFmtId="3" fontId="40" fillId="9" borderId="128" xfId="181" applyNumberFormat="1" applyFont="1" applyFill="1" applyBorder="1" applyAlignment="1" applyProtection="1">
      <alignment horizontal="right" vertical="center"/>
      <protection locked="0"/>
    </xf>
    <xf numFmtId="3" fontId="40" fillId="9" borderId="132" xfId="181" applyNumberFormat="1" applyFont="1" applyFill="1" applyBorder="1" applyAlignment="1" applyProtection="1">
      <alignment horizontal="right" vertical="center"/>
      <protection locked="0"/>
    </xf>
    <xf numFmtId="10" fontId="40" fillId="9" borderId="128" xfId="177" applyNumberFormat="1" applyFont="1" applyFill="1" applyBorder="1" applyAlignment="1" applyProtection="1">
      <alignment horizontal="right" vertical="center"/>
      <protection locked="0"/>
    </xf>
    <xf numFmtId="0" fontId="10" fillId="0" borderId="0" xfId="181" applyNumberFormat="1" applyFont="1" applyFill="1" applyBorder="1" applyAlignment="1" applyProtection="1">
      <alignment horizontal="left" vertical="center"/>
      <protection locked="0"/>
    </xf>
    <xf numFmtId="49" fontId="10" fillId="16" borderId="31" xfId="181" applyNumberFormat="1" applyFont="1" applyFill="1" applyBorder="1" applyAlignment="1" applyProtection="1">
      <alignment horizontal="center" vertical="center" wrapText="1"/>
      <protection locked="0"/>
    </xf>
    <xf numFmtId="49" fontId="57" fillId="19" borderId="128" xfId="181" applyNumberFormat="1" applyFont="1" applyFill="1" applyBorder="1" applyAlignment="1" applyProtection="1">
      <alignment horizontal="center" vertical="center" wrapText="1"/>
      <protection locked="0"/>
    </xf>
    <xf numFmtId="49" fontId="57" fillId="19" borderId="129" xfId="181" applyNumberFormat="1" applyFont="1" applyFill="1" applyBorder="1" applyAlignment="1" applyProtection="1">
      <alignment horizontal="center" vertical="center" wrapText="1"/>
      <protection locked="0"/>
    </xf>
    <xf numFmtId="49" fontId="57" fillId="19" borderId="130" xfId="181" applyNumberFormat="1" applyFont="1" applyFill="1" applyBorder="1" applyAlignment="1" applyProtection="1">
      <alignment horizontal="left" vertical="center" wrapText="1"/>
      <protection locked="0"/>
    </xf>
    <xf numFmtId="3" fontId="57" fillId="20" borderId="131" xfId="181" applyNumberFormat="1" applyFont="1" applyFill="1" applyBorder="1" applyAlignment="1" applyProtection="1">
      <alignment horizontal="right" vertical="center"/>
      <protection locked="0"/>
    </xf>
    <xf numFmtId="3" fontId="57" fillId="20" borderId="128" xfId="181" applyNumberFormat="1" applyFont="1" applyFill="1" applyBorder="1" applyAlignment="1" applyProtection="1">
      <alignment horizontal="right" vertical="center"/>
      <protection locked="0"/>
    </xf>
    <xf numFmtId="3" fontId="57" fillId="20" borderId="132" xfId="181" applyNumberFormat="1" applyFont="1" applyFill="1" applyBorder="1" applyAlignment="1" applyProtection="1">
      <alignment horizontal="right" vertical="center"/>
      <protection locked="0"/>
    </xf>
    <xf numFmtId="10" fontId="40" fillId="20" borderId="128" xfId="177" applyNumberFormat="1" applyFont="1" applyFill="1" applyBorder="1" applyAlignment="1" applyProtection="1">
      <alignment horizontal="right" vertical="center"/>
      <protection locked="0"/>
    </xf>
    <xf numFmtId="49" fontId="10" fillId="16" borderId="52" xfId="181" applyNumberFormat="1" applyFont="1" applyFill="1" applyBorder="1" applyAlignment="1" applyProtection="1">
      <alignment horizontal="center" vertical="center" wrapText="1"/>
      <protection locked="0"/>
    </xf>
    <xf numFmtId="49" fontId="10" fillId="0" borderId="30" xfId="181" applyNumberFormat="1" applyFont="1" applyFill="1" applyBorder="1" applyAlignment="1" applyProtection="1">
      <alignment vertical="center" wrapText="1"/>
      <protection locked="0"/>
    </xf>
    <xf numFmtId="3" fontId="40" fillId="0" borderId="77" xfId="181" applyNumberFormat="1" applyFont="1" applyFill="1" applyBorder="1" applyAlignment="1" applyProtection="1">
      <alignment horizontal="right" vertical="center"/>
      <protection locked="0"/>
    </xf>
    <xf numFmtId="3" fontId="40" fillId="0" borderId="41" xfId="181" applyNumberFormat="1" applyFont="1" applyFill="1" applyBorder="1" applyAlignment="1" applyProtection="1">
      <alignment horizontal="right" vertical="center"/>
      <protection locked="0"/>
    </xf>
    <xf numFmtId="3" fontId="40" fillId="0" borderId="135" xfId="181" applyNumberFormat="1" applyFont="1" applyFill="1" applyBorder="1" applyAlignment="1" applyProtection="1">
      <alignment horizontal="right" vertical="center"/>
      <protection locked="0"/>
    </xf>
    <xf numFmtId="10" fontId="40" fillId="0" borderId="41" xfId="177" applyNumberFormat="1" applyFont="1" applyFill="1" applyBorder="1" applyAlignment="1" applyProtection="1">
      <alignment horizontal="right" vertical="center"/>
      <protection locked="0"/>
    </xf>
    <xf numFmtId="49" fontId="10" fillId="0" borderId="39" xfId="181" applyNumberFormat="1" applyFont="1" applyFill="1" applyBorder="1" applyAlignment="1" applyProtection="1">
      <alignment vertical="center" wrapText="1"/>
      <protection locked="0"/>
    </xf>
    <xf numFmtId="3" fontId="10" fillId="0" borderId="161" xfId="181" applyNumberFormat="1" applyFont="1" applyFill="1" applyBorder="1" applyAlignment="1" applyProtection="1">
      <alignment horizontal="right" vertical="center"/>
      <protection locked="0"/>
    </xf>
    <xf numFmtId="3" fontId="10" fillId="0" borderId="80" xfId="181" applyNumberFormat="1" applyFont="1" applyFill="1" applyBorder="1" applyAlignment="1" applyProtection="1">
      <alignment horizontal="right" vertical="center"/>
      <protection locked="0"/>
    </xf>
    <xf numFmtId="3" fontId="10" fillId="0" borderId="172" xfId="181" applyNumberFormat="1" applyFont="1" applyFill="1" applyBorder="1" applyAlignment="1" applyProtection="1">
      <alignment horizontal="right" vertical="center"/>
      <protection locked="0"/>
    </xf>
    <xf numFmtId="10" fontId="10" fillId="0" borderId="80" xfId="177" applyNumberFormat="1" applyFont="1" applyFill="1" applyBorder="1" applyAlignment="1" applyProtection="1">
      <alignment horizontal="right" vertical="center"/>
      <protection locked="0"/>
    </xf>
    <xf numFmtId="49" fontId="10" fillId="16" borderId="170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73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174" xfId="181" applyNumberFormat="1" applyFont="1" applyFill="1" applyBorder="1" applyAlignment="1" applyProtection="1">
      <alignment horizontal="right" vertical="center"/>
      <protection locked="0"/>
    </xf>
    <xf numFmtId="3" fontId="10" fillId="0" borderId="118" xfId="181" applyNumberFormat="1" applyFont="1" applyFill="1" applyBorder="1" applyAlignment="1" applyProtection="1">
      <alignment horizontal="right" vertical="center"/>
      <protection locked="0"/>
    </xf>
    <xf numFmtId="49" fontId="10" fillId="16" borderId="171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25" xfId="181" applyNumberFormat="1" applyFont="1" applyFill="1" applyBorder="1" applyAlignment="1" applyProtection="1">
      <alignment horizontal="center" vertical="center" wrapText="1"/>
      <protection locked="0"/>
    </xf>
    <xf numFmtId="2" fontId="10" fillId="0" borderId="175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176" xfId="181" applyNumberFormat="1" applyFont="1" applyFill="1" applyBorder="1" applyAlignment="1" applyProtection="1">
      <alignment horizontal="right" vertical="center" wrapText="1"/>
      <protection locked="0"/>
    </xf>
    <xf numFmtId="49" fontId="10" fillId="16" borderId="118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77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178" xfId="181" applyNumberFormat="1" applyFont="1" applyFill="1" applyBorder="1" applyAlignment="1" applyProtection="1">
      <alignment horizontal="right" vertical="center" wrapText="1"/>
      <protection locked="0"/>
    </xf>
    <xf numFmtId="49" fontId="10" fillId="16" borderId="39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76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18" xfId="181" applyNumberFormat="1" applyFont="1" applyFill="1" applyBorder="1" applyAlignment="1" applyProtection="1">
      <alignment horizontal="left" vertical="center" wrapText="1"/>
      <protection locked="0"/>
    </xf>
    <xf numFmtId="3" fontId="10" fillId="16" borderId="178" xfId="181" applyNumberFormat="1" applyFont="1" applyFill="1" applyBorder="1" applyAlignment="1" applyProtection="1">
      <alignment horizontal="right" vertical="center" wrapText="1"/>
      <protection locked="0"/>
    </xf>
    <xf numFmtId="3" fontId="10" fillId="16" borderId="41" xfId="181" applyNumberFormat="1" applyFont="1" applyFill="1" applyBorder="1" applyAlignment="1" applyProtection="1">
      <alignment horizontal="right" vertical="center" wrapText="1"/>
      <protection locked="0"/>
    </xf>
    <xf numFmtId="3" fontId="10" fillId="16" borderId="135" xfId="181" applyNumberFormat="1" applyFont="1" applyFill="1" applyBorder="1" applyAlignment="1" applyProtection="1">
      <alignment horizontal="right" vertical="center" wrapText="1"/>
      <protection locked="0"/>
    </xf>
    <xf numFmtId="10" fontId="10" fillId="0" borderId="41" xfId="177" applyNumberFormat="1" applyFont="1" applyFill="1" applyBorder="1" applyAlignment="1" applyProtection="1">
      <alignment horizontal="right" vertical="center"/>
      <protection locked="0"/>
    </xf>
    <xf numFmtId="49" fontId="10" fillId="16" borderId="179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65" xfId="181" applyNumberFormat="1" applyFont="1" applyFill="1" applyBorder="1" applyAlignment="1" applyProtection="1">
      <alignment horizontal="left" vertical="center" wrapText="1"/>
      <protection locked="0"/>
    </xf>
    <xf numFmtId="3" fontId="10" fillId="16" borderId="161" xfId="181" applyNumberFormat="1" applyFont="1" applyFill="1" applyBorder="1" applyAlignment="1" applyProtection="1">
      <alignment horizontal="right" vertical="center" wrapText="1"/>
      <protection locked="0"/>
    </xf>
    <xf numFmtId="3" fontId="10" fillId="0" borderId="19" xfId="181" applyNumberFormat="1" applyFont="1" applyFill="1" applyBorder="1" applyAlignment="1" applyProtection="1">
      <alignment horizontal="right" vertical="center"/>
      <protection locked="0"/>
    </xf>
    <xf numFmtId="49" fontId="10" fillId="16" borderId="112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80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181" xfId="181" applyNumberFormat="1" applyFont="1" applyFill="1" applyBorder="1" applyAlignment="1" applyProtection="1">
      <alignment horizontal="center" vertical="center" wrapText="1"/>
      <protection locked="0"/>
    </xf>
    <xf numFmtId="49" fontId="10" fillId="0" borderId="162" xfId="181" applyNumberFormat="1" applyFont="1" applyFill="1" applyBorder="1" applyAlignment="1" applyProtection="1">
      <alignment horizontal="center" vertical="center" wrapText="1"/>
      <protection locked="0"/>
    </xf>
    <xf numFmtId="0" fontId="10" fillId="0" borderId="160" xfId="0" applyFont="1" applyBorder="1" applyAlignment="1">
      <alignment vertical="center" wrapText="1"/>
    </xf>
    <xf numFmtId="49" fontId="10" fillId="16" borderId="162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60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39" xfId="181" applyNumberFormat="1" applyFont="1" applyFill="1" applyBorder="1" applyAlignment="1" applyProtection="1">
      <alignment horizontal="center" vertical="center" wrapText="1"/>
      <protection locked="0"/>
    </xf>
    <xf numFmtId="49" fontId="10" fillId="0" borderId="160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34" xfId="181" applyNumberFormat="1" applyFont="1" applyFill="1" applyBorder="1" applyAlignment="1" applyProtection="1">
      <alignment horizontal="center" vertical="center" wrapText="1"/>
      <protection locked="0"/>
    </xf>
    <xf numFmtId="49" fontId="10" fillId="0" borderId="33" xfId="181" applyNumberFormat="1" applyFont="1" applyFill="1" applyBorder="1" applyAlignment="1" applyProtection="1">
      <alignment horizontal="center" vertical="center" wrapText="1"/>
      <protection locked="0"/>
    </xf>
    <xf numFmtId="3" fontId="10" fillId="16" borderId="184" xfId="181" applyNumberFormat="1" applyFont="1" applyFill="1" applyBorder="1" applyAlignment="1" applyProtection="1">
      <alignment horizontal="right" vertical="center" wrapText="1"/>
      <protection locked="0"/>
    </xf>
    <xf numFmtId="3" fontId="10" fillId="0" borderId="54" xfId="181" applyNumberFormat="1" applyFont="1" applyFill="1" applyBorder="1" applyAlignment="1" applyProtection="1">
      <alignment horizontal="right" vertical="center"/>
      <protection locked="0"/>
    </xf>
    <xf numFmtId="3" fontId="10" fillId="0" borderId="185" xfId="181" applyNumberFormat="1" applyFont="1" applyFill="1" applyBorder="1" applyAlignment="1" applyProtection="1">
      <alignment horizontal="right" vertical="center"/>
      <protection locked="0"/>
    </xf>
    <xf numFmtId="10" fontId="10" fillId="0" borderId="54" xfId="177" applyNumberFormat="1" applyFont="1" applyFill="1" applyBorder="1" applyAlignment="1" applyProtection="1">
      <alignment horizontal="right" vertical="center"/>
      <protection locked="0"/>
    </xf>
    <xf numFmtId="49" fontId="10" fillId="0" borderId="30" xfId="181" applyNumberFormat="1" applyFont="1" applyFill="1" applyBorder="1" applyAlignment="1" applyProtection="1">
      <alignment horizontal="center" vertical="center" wrapText="1"/>
      <protection locked="0"/>
    </xf>
    <xf numFmtId="3" fontId="40" fillId="0" borderId="140" xfId="181" applyNumberFormat="1" applyFont="1" applyFill="1" applyBorder="1" applyAlignment="1" applyProtection="1">
      <alignment horizontal="right" vertical="center"/>
      <protection locked="0"/>
    </xf>
    <xf numFmtId="3" fontId="40" fillId="0" borderId="51" xfId="181" applyNumberFormat="1" applyFont="1" applyFill="1" applyBorder="1" applyAlignment="1" applyProtection="1">
      <alignment horizontal="right" vertical="center"/>
      <protection locked="0"/>
    </xf>
    <xf numFmtId="3" fontId="40" fillId="0" borderId="61" xfId="181" applyNumberFormat="1" applyFont="1" applyFill="1" applyBorder="1" applyAlignment="1" applyProtection="1">
      <alignment horizontal="right" vertical="center"/>
      <protection locked="0"/>
    </xf>
    <xf numFmtId="10" fontId="40" fillId="0" borderId="51" xfId="177" applyNumberFormat="1" applyFont="1" applyFill="1" applyBorder="1" applyAlignment="1" applyProtection="1">
      <alignment horizontal="right" vertical="center"/>
      <protection locked="0"/>
    </xf>
    <xf numFmtId="3" fontId="10" fillId="0" borderId="188" xfId="181" applyNumberFormat="1" applyFont="1" applyFill="1" applyBorder="1" applyAlignment="1" applyProtection="1">
      <alignment horizontal="right" vertical="center"/>
      <protection locked="0"/>
    </xf>
    <xf numFmtId="3" fontId="10" fillId="0" borderId="189" xfId="181" applyNumberFormat="1" applyFont="1" applyFill="1" applyBorder="1" applyAlignment="1" applyProtection="1">
      <alignment horizontal="right" vertical="center"/>
      <protection locked="0"/>
    </xf>
    <xf numFmtId="10" fontId="10" fillId="0" borderId="188" xfId="177" applyNumberFormat="1" applyFont="1" applyFill="1" applyBorder="1" applyAlignment="1" applyProtection="1">
      <alignment horizontal="right" vertical="center"/>
      <protection locked="0"/>
    </xf>
    <xf numFmtId="49" fontId="10" fillId="16" borderId="190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91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192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93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194" xfId="181" applyNumberFormat="1" applyFont="1" applyFill="1" applyBorder="1" applyAlignment="1" applyProtection="1">
      <alignment horizontal="right" vertical="center"/>
      <protection locked="0"/>
    </xf>
    <xf numFmtId="49" fontId="10" fillId="16" borderId="195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96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197" xfId="181" applyNumberFormat="1" applyFont="1" applyFill="1" applyBorder="1" applyAlignment="1" applyProtection="1">
      <alignment horizontal="right" vertical="center"/>
      <protection locked="0"/>
    </xf>
    <xf numFmtId="49" fontId="10" fillId="16" borderId="198" xfId="181" applyNumberFormat="1" applyFont="1" applyFill="1" applyBorder="1" applyAlignment="1" applyProtection="1">
      <alignment horizontal="center" vertical="center" wrapText="1"/>
      <protection locked="0"/>
    </xf>
    <xf numFmtId="2" fontId="10" fillId="0" borderId="199" xfId="181" applyNumberFormat="1" applyFont="1" applyFill="1" applyBorder="1" applyAlignment="1" applyProtection="1">
      <alignment horizontal="left" vertical="center" wrapText="1"/>
      <protection locked="0"/>
    </xf>
    <xf numFmtId="49" fontId="59" fillId="16" borderId="200" xfId="181" applyNumberFormat="1" applyFont="1" applyFill="1" applyBorder="1" applyAlignment="1" applyProtection="1">
      <alignment horizontal="left" vertical="center" wrapText="1"/>
      <protection locked="0"/>
    </xf>
    <xf numFmtId="3" fontId="59" fillId="0" borderId="201" xfId="181" applyNumberFormat="1" applyFont="1" applyFill="1" applyBorder="1" applyAlignment="1" applyProtection="1">
      <alignment horizontal="right" vertical="center"/>
      <protection locked="0"/>
    </xf>
    <xf numFmtId="3" fontId="10" fillId="0" borderId="202" xfId="181" applyNumberFormat="1" applyFont="1" applyFill="1" applyBorder="1" applyAlignment="1" applyProtection="1">
      <alignment horizontal="right" vertical="center"/>
      <protection locked="0"/>
    </xf>
    <xf numFmtId="49" fontId="53" fillId="16" borderId="31" xfId="181" applyNumberFormat="1" applyFont="1" applyFill="1" applyBorder="1" applyAlignment="1" applyProtection="1">
      <alignment horizontal="center" vertical="center" wrapText="1"/>
      <protection locked="0"/>
    </xf>
    <xf numFmtId="0" fontId="29" fillId="2" borderId="30" xfId="0" applyFont="1" applyFill="1" applyBorder="1" applyAlignment="1">
      <alignment vertical="center" wrapText="1"/>
    </xf>
    <xf numFmtId="3" fontId="27" fillId="0" borderId="204" xfId="181" applyNumberFormat="1" applyFont="1" applyFill="1" applyBorder="1" applyAlignment="1" applyProtection="1">
      <alignment horizontal="right" vertical="center"/>
      <protection locked="0"/>
    </xf>
    <xf numFmtId="3" fontId="27" fillId="0" borderId="205" xfId="181" applyNumberFormat="1" applyFont="1" applyFill="1" applyBorder="1" applyAlignment="1" applyProtection="1">
      <alignment horizontal="right" vertical="center"/>
      <protection locked="0"/>
    </xf>
    <xf numFmtId="0" fontId="29" fillId="2" borderId="39" xfId="0" applyFont="1" applyFill="1" applyBorder="1" applyAlignment="1">
      <alignment vertical="center" wrapText="1"/>
    </xf>
    <xf numFmtId="3" fontId="15" fillId="0" borderId="188" xfId="181" applyNumberFormat="1" applyFont="1" applyFill="1" applyBorder="1" applyAlignment="1" applyProtection="1">
      <alignment horizontal="right" vertical="center"/>
      <protection locked="0"/>
    </xf>
    <xf numFmtId="3" fontId="15" fillId="0" borderId="172" xfId="181" applyNumberFormat="1" applyFont="1" applyFill="1" applyBorder="1" applyAlignment="1" applyProtection="1">
      <alignment horizontal="right" vertical="center"/>
      <protection locked="0"/>
    </xf>
    <xf numFmtId="10" fontId="15" fillId="0" borderId="188" xfId="177" applyNumberFormat="1" applyFont="1" applyFill="1" applyBorder="1" applyAlignment="1" applyProtection="1">
      <alignment horizontal="right" vertical="center"/>
      <protection locked="0"/>
    </xf>
    <xf numFmtId="3" fontId="48" fillId="0" borderId="204" xfId="181" applyNumberFormat="1" applyFont="1" applyFill="1" applyBorder="1" applyAlignment="1" applyProtection="1">
      <alignment horizontal="right" vertical="center"/>
      <protection locked="0"/>
    </xf>
    <xf numFmtId="3" fontId="48" fillId="0" borderId="205" xfId="181" applyNumberFormat="1" applyFont="1" applyFill="1" applyBorder="1" applyAlignment="1" applyProtection="1">
      <alignment horizontal="right" vertical="center"/>
      <protection locked="0"/>
    </xf>
    <xf numFmtId="10" fontId="15" fillId="0" borderId="208" xfId="177" applyNumberFormat="1" applyFont="1" applyFill="1" applyBorder="1" applyAlignment="1" applyProtection="1">
      <alignment horizontal="right" vertical="center"/>
      <protection locked="0"/>
    </xf>
    <xf numFmtId="49" fontId="15" fillId="16" borderId="209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210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211" xfId="181" applyNumberFormat="1" applyFont="1" applyFill="1" applyBorder="1" applyAlignment="1" applyProtection="1">
      <alignment horizontal="right" vertical="center"/>
      <protection locked="0"/>
    </xf>
    <xf numFmtId="3" fontId="15" fillId="0" borderId="212" xfId="181" applyNumberFormat="1" applyFont="1" applyFill="1" applyBorder="1" applyAlignment="1" applyProtection="1">
      <alignment horizontal="right" vertical="center"/>
      <protection locked="0"/>
    </xf>
    <xf numFmtId="3" fontId="15" fillId="0" borderId="213" xfId="181" applyNumberFormat="1" applyFont="1" applyFill="1" applyBorder="1" applyAlignment="1" applyProtection="1">
      <alignment horizontal="right" vertical="center"/>
      <protection locked="0"/>
    </xf>
    <xf numFmtId="10" fontId="15" fillId="0" borderId="212" xfId="177" applyNumberFormat="1" applyFont="1" applyFill="1" applyBorder="1" applyAlignment="1" applyProtection="1">
      <alignment horizontal="right" vertical="center"/>
      <protection locked="0"/>
    </xf>
    <xf numFmtId="49" fontId="15" fillId="16" borderId="214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215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197" xfId="181" applyNumberFormat="1" applyFont="1" applyFill="1" applyBorder="1" applyAlignment="1" applyProtection="1">
      <alignment horizontal="right" vertical="center"/>
      <protection locked="0"/>
    </xf>
    <xf numFmtId="3" fontId="15" fillId="0" borderId="208" xfId="181" applyNumberFormat="1" applyFont="1" applyFill="1" applyBorder="1" applyAlignment="1" applyProtection="1">
      <alignment horizontal="right" vertical="center"/>
      <protection locked="0"/>
    </xf>
    <xf numFmtId="49" fontId="15" fillId="16" borderId="216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217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218" xfId="181" applyNumberFormat="1" applyFont="1" applyFill="1" applyBorder="1" applyAlignment="1" applyProtection="1">
      <alignment horizontal="right" vertical="center"/>
      <protection locked="0"/>
    </xf>
    <xf numFmtId="3" fontId="15" fillId="0" borderId="219" xfId="181" applyNumberFormat="1" applyFont="1" applyFill="1" applyBorder="1" applyAlignment="1" applyProtection="1">
      <alignment horizontal="right" vertical="center"/>
      <protection locked="0"/>
    </xf>
    <xf numFmtId="49" fontId="15" fillId="16" borderId="220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221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222" xfId="181" applyNumberFormat="1" applyFont="1" applyFill="1" applyBorder="1" applyAlignment="1" applyProtection="1">
      <alignment vertical="center" wrapText="1"/>
      <protection locked="0"/>
    </xf>
    <xf numFmtId="49" fontId="15" fillId="16" borderId="223" xfId="181" applyNumberFormat="1" applyFont="1" applyFill="1" applyBorder="1" applyAlignment="1" applyProtection="1">
      <alignment vertical="center" wrapText="1"/>
      <protection locked="0"/>
    </xf>
    <xf numFmtId="3" fontId="15" fillId="0" borderId="222" xfId="181" applyNumberFormat="1" applyFont="1" applyFill="1" applyBorder="1" applyAlignment="1" applyProtection="1">
      <alignment horizontal="right" vertical="center"/>
      <protection locked="0"/>
    </xf>
    <xf numFmtId="3" fontId="15" fillId="0" borderId="205" xfId="181" applyNumberFormat="1" applyFont="1" applyFill="1" applyBorder="1" applyAlignment="1" applyProtection="1">
      <alignment horizontal="right" vertical="center"/>
      <protection locked="0"/>
    </xf>
    <xf numFmtId="49" fontId="15" fillId="0" borderId="226" xfId="181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228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228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229" xfId="181" applyNumberFormat="1" applyFont="1" applyFill="1" applyBorder="1" applyAlignment="1" applyProtection="1">
      <alignment horizontal="left" vertical="center" wrapText="1"/>
      <protection locked="0"/>
    </xf>
    <xf numFmtId="3" fontId="53" fillId="0" borderId="211" xfId="181" applyNumberFormat="1" applyFont="1" applyFill="1" applyBorder="1" applyAlignment="1" applyProtection="1">
      <alignment horizontal="right" vertical="center"/>
      <protection locked="0"/>
    </xf>
    <xf numFmtId="3" fontId="53" fillId="0" borderId="212" xfId="181" applyNumberFormat="1" applyFont="1" applyFill="1" applyBorder="1" applyAlignment="1" applyProtection="1">
      <alignment horizontal="right" vertical="center"/>
      <protection locked="0"/>
    </xf>
    <xf numFmtId="3" fontId="53" fillId="0" borderId="213" xfId="181" applyNumberFormat="1" applyFont="1" applyFill="1" applyBorder="1" applyAlignment="1" applyProtection="1">
      <alignment horizontal="right" vertical="center"/>
      <protection locked="0"/>
    </xf>
    <xf numFmtId="10" fontId="53" fillId="0" borderId="212" xfId="177" applyNumberFormat="1" applyFont="1" applyFill="1" applyBorder="1" applyAlignment="1" applyProtection="1">
      <alignment horizontal="right" vertical="center"/>
      <protection locked="0"/>
    </xf>
    <xf numFmtId="49" fontId="53" fillId="16" borderId="230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227" xfId="181" applyNumberFormat="1" applyFont="1" applyFill="1" applyBorder="1" applyAlignment="1" applyProtection="1">
      <alignment horizontal="left" vertical="center" wrapText="1"/>
      <protection locked="0"/>
    </xf>
    <xf numFmtId="3" fontId="27" fillId="0" borderId="211" xfId="181" applyNumberFormat="1" applyFont="1" applyFill="1" applyBorder="1" applyAlignment="1" applyProtection="1">
      <alignment horizontal="right" vertical="center"/>
      <protection locked="0"/>
    </xf>
    <xf numFmtId="3" fontId="27" fillId="0" borderId="212" xfId="181" applyNumberFormat="1" applyFont="1" applyFill="1" applyBorder="1" applyAlignment="1" applyProtection="1">
      <alignment horizontal="right" vertical="center"/>
      <protection locked="0"/>
    </xf>
    <xf numFmtId="3" fontId="27" fillId="0" borderId="231" xfId="181" applyNumberFormat="1" applyFont="1" applyFill="1" applyBorder="1" applyAlignment="1" applyProtection="1">
      <alignment horizontal="right" vertical="center"/>
      <protection locked="0"/>
    </xf>
    <xf numFmtId="10" fontId="27" fillId="0" borderId="212" xfId="177" applyNumberFormat="1" applyFont="1" applyFill="1" applyBorder="1" applyAlignment="1" applyProtection="1">
      <alignment horizontal="right" vertical="center"/>
      <protection locked="0"/>
    </xf>
    <xf numFmtId="49" fontId="15" fillId="16" borderId="227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229" xfId="181" applyNumberFormat="1" applyFont="1" applyFill="1" applyBorder="1" applyAlignment="1" applyProtection="1">
      <alignment horizontal="left" vertical="center" wrapText="1"/>
      <protection locked="0"/>
    </xf>
    <xf numFmtId="0" fontId="93" fillId="0" borderId="49" xfId="0" applyFont="1" applyBorder="1" applyAlignment="1">
      <alignment vertical="center"/>
    </xf>
    <xf numFmtId="3" fontId="15" fillId="0" borderId="231" xfId="181" applyNumberFormat="1" applyFont="1" applyFill="1" applyBorder="1" applyAlignment="1" applyProtection="1">
      <alignment horizontal="right" vertical="center"/>
      <protection locked="0"/>
    </xf>
    <xf numFmtId="49" fontId="53" fillId="16" borderId="39" xfId="181" applyNumberFormat="1" applyFont="1" applyFill="1" applyBorder="1" applyAlignment="1" applyProtection="1">
      <alignment horizontal="center" vertical="center" wrapText="1"/>
      <protection locked="0"/>
    </xf>
    <xf numFmtId="0" fontId="93" fillId="0" borderId="39" xfId="0" applyFont="1" applyBorder="1" applyAlignment="1">
      <alignment vertical="center" wrapText="1"/>
    </xf>
    <xf numFmtId="49" fontId="15" fillId="16" borderId="232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233" xfId="181" applyNumberFormat="1" applyFont="1" applyFill="1" applyBorder="1" applyAlignment="1" applyProtection="1">
      <alignment horizontal="left" vertical="center" wrapText="1"/>
      <protection locked="0"/>
    </xf>
    <xf numFmtId="10" fontId="15" fillId="0" borderId="234" xfId="177" applyNumberFormat="1" applyFont="1" applyFill="1" applyBorder="1" applyAlignment="1" applyProtection="1">
      <alignment horizontal="right" vertical="center"/>
      <protection locked="0"/>
    </xf>
    <xf numFmtId="49" fontId="47" fillId="21" borderId="30" xfId="181" applyNumberFormat="1" applyFont="1" applyFill="1" applyBorder="1" applyAlignment="1" applyProtection="1">
      <alignment vertical="center" wrapText="1"/>
      <protection locked="0"/>
    </xf>
    <xf numFmtId="3" fontId="27" fillId="0" borderId="222" xfId="181" applyNumberFormat="1" applyFont="1" applyFill="1" applyBorder="1" applyAlignment="1" applyProtection="1">
      <alignment horizontal="right" vertical="center"/>
      <protection locked="0"/>
    </xf>
    <xf numFmtId="49" fontId="47" fillId="21" borderId="39" xfId="181" applyNumberFormat="1" applyFont="1" applyFill="1" applyBorder="1" applyAlignment="1" applyProtection="1">
      <alignment vertical="center" wrapText="1"/>
      <protection locked="0"/>
    </xf>
    <xf numFmtId="49" fontId="15" fillId="16" borderId="237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238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239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240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241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34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204" xfId="181" applyNumberFormat="1" applyFont="1" applyFill="1" applyBorder="1" applyAlignment="1" applyProtection="1">
      <alignment horizontal="right" vertical="center"/>
      <protection locked="0"/>
    </xf>
    <xf numFmtId="49" fontId="15" fillId="16" borderId="244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245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246" xfId="181" applyNumberFormat="1" applyFont="1" applyFill="1" applyBorder="1" applyAlignment="1" applyProtection="1">
      <alignment horizontal="right" vertical="center"/>
      <protection locked="0"/>
    </xf>
    <xf numFmtId="49" fontId="54" fillId="21" borderId="39" xfId="181" applyNumberFormat="1" applyFont="1" applyFill="1" applyBorder="1" applyAlignment="1" applyProtection="1">
      <alignment vertical="center" wrapText="1"/>
      <protection locked="0"/>
    </xf>
    <xf numFmtId="49" fontId="53" fillId="16" borderId="246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225" xfId="181" applyNumberFormat="1" applyFont="1" applyFill="1" applyBorder="1" applyAlignment="1" applyProtection="1">
      <alignment horizontal="left" vertical="center" wrapText="1"/>
      <protection locked="0"/>
    </xf>
    <xf numFmtId="3" fontId="53" fillId="0" borderId="222" xfId="181" applyNumberFormat="1" applyFont="1" applyFill="1" applyBorder="1" applyAlignment="1" applyProtection="1">
      <alignment horizontal="right" vertical="center"/>
      <protection locked="0"/>
    </xf>
    <xf numFmtId="3" fontId="53" fillId="0" borderId="208" xfId="181" applyNumberFormat="1" applyFont="1" applyFill="1" applyBorder="1" applyAlignment="1" applyProtection="1">
      <alignment horizontal="right" vertical="center"/>
      <protection locked="0"/>
    </xf>
    <xf numFmtId="3" fontId="53" fillId="0" borderId="246" xfId="181" applyNumberFormat="1" applyFont="1" applyFill="1" applyBorder="1" applyAlignment="1" applyProtection="1">
      <alignment horizontal="right" vertical="center"/>
      <protection locked="0"/>
    </xf>
    <xf numFmtId="10" fontId="53" fillId="0" borderId="208" xfId="177" applyNumberFormat="1" applyFont="1" applyFill="1" applyBorder="1" applyAlignment="1" applyProtection="1">
      <alignment horizontal="right" vertical="center"/>
      <protection locked="0"/>
    </xf>
    <xf numFmtId="10" fontId="27" fillId="0" borderId="208" xfId="177" applyNumberFormat="1" applyFont="1" applyFill="1" applyBorder="1" applyAlignment="1" applyProtection="1">
      <alignment horizontal="right" vertical="center"/>
      <protection locked="0"/>
    </xf>
    <xf numFmtId="49" fontId="15" fillId="16" borderId="247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248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249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250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251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252" xfId="181" applyNumberFormat="1" applyFont="1" applyFill="1" applyBorder="1" applyAlignment="1" applyProtection="1">
      <alignment horizontal="left" vertical="center" wrapText="1"/>
      <protection locked="0"/>
    </xf>
    <xf numFmtId="3" fontId="48" fillId="0" borderId="211" xfId="181" applyNumberFormat="1" applyFont="1" applyFill="1" applyBorder="1" applyAlignment="1" applyProtection="1">
      <alignment horizontal="right" vertical="center"/>
      <protection locked="0"/>
    </xf>
    <xf numFmtId="3" fontId="48" fillId="0" borderId="212" xfId="181" applyNumberFormat="1" applyFont="1" applyFill="1" applyBorder="1" applyAlignment="1" applyProtection="1">
      <alignment horizontal="right" vertical="center"/>
      <protection locked="0"/>
    </xf>
    <xf numFmtId="3" fontId="48" fillId="0" borderId="231" xfId="181" applyNumberFormat="1" applyFont="1" applyFill="1" applyBorder="1" applyAlignment="1" applyProtection="1">
      <alignment horizontal="right" vertical="center"/>
      <protection locked="0"/>
    </xf>
    <xf numFmtId="10" fontId="48" fillId="0" borderId="212" xfId="177" applyNumberFormat="1" applyFont="1" applyFill="1" applyBorder="1" applyAlignment="1" applyProtection="1">
      <alignment horizontal="right" vertical="center"/>
      <protection locked="0"/>
    </xf>
    <xf numFmtId="49" fontId="15" fillId="0" borderId="247" xfId="181" applyNumberFormat="1" applyFont="1" applyFill="1" applyBorder="1" applyAlignment="1" applyProtection="1">
      <alignment horizontal="center" vertical="center" wrapText="1"/>
      <protection locked="0"/>
    </xf>
    <xf numFmtId="49" fontId="15" fillId="0" borderId="253" xfId="181" applyNumberFormat="1" applyFont="1" applyFill="1" applyBorder="1" applyAlignment="1" applyProtection="1">
      <alignment horizontal="center" vertical="center" wrapText="1"/>
      <protection locked="0"/>
    </xf>
    <xf numFmtId="49" fontId="15" fillId="0" borderId="221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254" xfId="181" applyNumberFormat="1" applyFont="1" applyFill="1" applyBorder="1" applyAlignment="1" applyProtection="1">
      <alignment horizontal="center" vertical="center" wrapText="1"/>
      <protection locked="0"/>
    </xf>
    <xf numFmtId="49" fontId="15" fillId="0" borderId="255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256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257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258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259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260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261" xfId="181" applyNumberFormat="1" applyFont="1" applyFill="1" applyBorder="1" applyAlignment="1" applyProtection="1">
      <alignment horizontal="right" vertical="center"/>
      <protection locked="0"/>
    </xf>
    <xf numFmtId="49" fontId="53" fillId="16" borderId="34" xfId="181" applyNumberFormat="1" applyFont="1" applyFill="1" applyBorder="1" applyAlignment="1" applyProtection="1">
      <alignment horizontal="center" vertical="center" wrapText="1"/>
      <protection locked="0"/>
    </xf>
    <xf numFmtId="49" fontId="54" fillId="21" borderId="33" xfId="181" applyNumberFormat="1" applyFont="1" applyFill="1" applyBorder="1" applyAlignment="1" applyProtection="1">
      <alignment vertical="center" wrapText="1"/>
      <protection locked="0"/>
    </xf>
    <xf numFmtId="49" fontId="15" fillId="0" borderId="262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263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184" xfId="181" applyNumberFormat="1" applyFont="1" applyFill="1" applyBorder="1" applyAlignment="1" applyProtection="1">
      <alignment horizontal="right" vertical="center"/>
      <protection locked="0"/>
    </xf>
    <xf numFmtId="3" fontId="15" fillId="0" borderId="185" xfId="181" applyNumberFormat="1" applyFont="1" applyFill="1" applyBorder="1" applyAlignment="1" applyProtection="1">
      <alignment horizontal="right" vertical="center"/>
      <protection locked="0"/>
    </xf>
    <xf numFmtId="3" fontId="27" fillId="20" borderId="131" xfId="181" applyNumberFormat="1" applyFont="1" applyFill="1" applyBorder="1" applyAlignment="1" applyProtection="1">
      <alignment horizontal="right" vertical="center"/>
      <protection locked="0"/>
    </xf>
    <xf numFmtId="3" fontId="27" fillId="20" borderId="128" xfId="181" applyNumberFormat="1" applyFont="1" applyFill="1" applyBorder="1" applyAlignment="1" applyProtection="1">
      <alignment horizontal="right" vertical="center"/>
      <protection locked="0"/>
    </xf>
    <xf numFmtId="3" fontId="27" fillId="20" borderId="132" xfId="181" applyNumberFormat="1" applyFont="1" applyFill="1" applyBorder="1" applyAlignment="1" applyProtection="1">
      <alignment horizontal="right" vertical="center"/>
      <protection locked="0"/>
    </xf>
    <xf numFmtId="49" fontId="15" fillId="0" borderId="30" xfId="181" applyNumberFormat="1" applyFont="1" applyFill="1" applyBorder="1" applyAlignment="1" applyProtection="1">
      <alignment vertical="center" wrapText="1"/>
      <protection locked="0"/>
    </xf>
    <xf numFmtId="3" fontId="27" fillId="0" borderId="265" xfId="181" applyNumberFormat="1" applyFont="1" applyFill="1" applyBorder="1" applyAlignment="1" applyProtection="1">
      <alignment horizontal="right" vertical="center"/>
      <protection locked="0"/>
    </xf>
    <xf numFmtId="3" fontId="27" fillId="0" borderId="223" xfId="181" applyNumberFormat="1" applyFont="1" applyFill="1" applyBorder="1" applyAlignment="1" applyProtection="1">
      <alignment horizontal="right" vertical="center"/>
      <protection locked="0"/>
    </xf>
    <xf numFmtId="3" fontId="27" fillId="0" borderId="267" xfId="181" applyNumberFormat="1" applyFont="1" applyFill="1" applyBorder="1" applyAlignment="1" applyProtection="1">
      <alignment horizontal="right" vertical="center"/>
      <protection locked="0"/>
    </xf>
    <xf numFmtId="10" fontId="15" fillId="0" borderId="268" xfId="177" applyNumberFormat="1" applyFont="1" applyFill="1" applyBorder="1" applyAlignment="1" applyProtection="1">
      <alignment horizontal="right" vertical="center"/>
      <protection locked="0"/>
    </xf>
    <xf numFmtId="49" fontId="15" fillId="16" borderId="253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21" xfId="181" applyNumberFormat="1" applyFont="1" applyFill="1" applyBorder="1" applyAlignment="1" applyProtection="1">
      <alignment horizontal="left" vertical="center" wrapText="1"/>
      <protection locked="0"/>
    </xf>
    <xf numFmtId="49" fontId="27" fillId="0" borderId="0" xfId="181" applyNumberFormat="1" applyFont="1" applyFill="1" applyBorder="1" applyAlignment="1" applyProtection="1">
      <alignment horizontal="left" vertical="center" wrapText="1"/>
      <protection locked="0"/>
    </xf>
    <xf numFmtId="49" fontId="27" fillId="0" borderId="264" xfId="181" applyNumberFormat="1" applyFont="1" applyFill="1" applyBorder="1" applyAlignment="1" applyProtection="1">
      <alignment horizontal="left" vertical="center" wrapText="1"/>
      <protection locked="0"/>
    </xf>
    <xf numFmtId="3" fontId="27" fillId="0" borderId="52" xfId="181" applyNumberFormat="1" applyFont="1" applyFill="1" applyBorder="1" applyAlignment="1" applyProtection="1">
      <alignment horizontal="right" vertical="center"/>
      <protection locked="0"/>
    </xf>
    <xf numFmtId="3" fontId="27" fillId="0" borderId="39" xfId="181" applyNumberFormat="1" applyFont="1" applyFill="1" applyBorder="1" applyAlignment="1" applyProtection="1">
      <alignment horizontal="right" vertical="center"/>
      <protection locked="0"/>
    </xf>
    <xf numFmtId="3" fontId="27" fillId="0" borderId="49" xfId="181" applyNumberFormat="1" applyFont="1" applyFill="1" applyBorder="1" applyAlignment="1" applyProtection="1">
      <alignment horizontal="right" vertical="center"/>
      <protection locked="0"/>
    </xf>
    <xf numFmtId="3" fontId="15" fillId="0" borderId="58" xfId="181" applyNumberFormat="1" applyFont="1" applyFill="1" applyBorder="1" applyAlignment="1" applyProtection="1">
      <alignment horizontal="right" vertical="center" wrapText="1"/>
      <protection locked="0"/>
    </xf>
    <xf numFmtId="3" fontId="15" fillId="0" borderId="234" xfId="181" applyNumberFormat="1" applyFont="1" applyFill="1" applyBorder="1" applyAlignment="1" applyProtection="1">
      <alignment horizontal="right" vertical="center" wrapText="1"/>
      <protection locked="0"/>
    </xf>
    <xf numFmtId="3" fontId="15" fillId="0" borderId="270" xfId="181" applyNumberFormat="1" applyFont="1" applyFill="1" applyBorder="1" applyAlignment="1" applyProtection="1">
      <alignment horizontal="right" vertical="center" wrapText="1"/>
      <protection locked="0"/>
    </xf>
    <xf numFmtId="49" fontId="15" fillId="0" borderId="249" xfId="181" applyNumberFormat="1" applyFont="1" applyFill="1" applyBorder="1" applyAlignment="1" applyProtection="1">
      <alignment horizontal="center" vertical="center" wrapText="1"/>
      <protection locked="0"/>
    </xf>
    <xf numFmtId="49" fontId="15" fillId="0" borderId="271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272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273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274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112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113" xfId="181" applyNumberFormat="1" applyFont="1" applyFill="1" applyBorder="1" applyAlignment="1" applyProtection="1">
      <alignment horizontal="left" vertical="center" wrapText="1"/>
      <protection locked="0"/>
    </xf>
    <xf numFmtId="3" fontId="53" fillId="0" borderId="52" xfId="181" applyNumberFormat="1" applyFont="1" applyFill="1" applyBorder="1" applyAlignment="1" applyProtection="1">
      <alignment horizontal="right" vertical="center"/>
      <protection locked="0"/>
    </xf>
    <xf numFmtId="3" fontId="53" fillId="0" borderId="39" xfId="181" applyNumberFormat="1" applyFont="1" applyFill="1" applyBorder="1" applyAlignment="1" applyProtection="1">
      <alignment horizontal="right" vertical="center"/>
      <protection locked="0"/>
    </xf>
    <xf numFmtId="3" fontId="53" fillId="0" borderId="0" xfId="181" applyNumberFormat="1" applyFont="1" applyFill="1" applyBorder="1" applyAlignment="1" applyProtection="1">
      <alignment horizontal="right" vertical="center"/>
      <protection locked="0"/>
    </xf>
    <xf numFmtId="10" fontId="53" fillId="0" borderId="39" xfId="177" applyNumberFormat="1" applyFont="1" applyFill="1" applyBorder="1" applyAlignment="1" applyProtection="1">
      <alignment horizontal="right" vertical="center"/>
      <protection locked="0"/>
    </xf>
    <xf numFmtId="49" fontId="15" fillId="16" borderId="275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211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231" xfId="181" applyNumberFormat="1" applyFont="1" applyFill="1" applyBorder="1" applyAlignment="1" applyProtection="1">
      <alignment horizontal="left" vertical="center" wrapText="1"/>
      <protection locked="0"/>
    </xf>
    <xf numFmtId="3" fontId="48" fillId="0" borderId="265" xfId="181" applyNumberFormat="1" applyFont="1" applyFill="1" applyBorder="1" applyAlignment="1" applyProtection="1">
      <alignment horizontal="right" vertical="center"/>
      <protection locked="0"/>
    </xf>
    <xf numFmtId="3" fontId="15" fillId="0" borderId="265" xfId="181" applyNumberFormat="1" applyFont="1" applyFill="1" applyBorder="1" applyAlignment="1" applyProtection="1">
      <alignment horizontal="right" vertical="center"/>
      <protection locked="0"/>
    </xf>
    <xf numFmtId="3" fontId="15" fillId="0" borderId="267" xfId="181" applyNumberFormat="1" applyFont="1" applyFill="1" applyBorder="1" applyAlignment="1" applyProtection="1">
      <alignment horizontal="right" vertical="center"/>
      <protection locked="0"/>
    </xf>
    <xf numFmtId="49" fontId="15" fillId="0" borderId="266" xfId="181" applyNumberFormat="1" applyFont="1" applyFill="1" applyBorder="1" applyAlignment="1" applyProtection="1">
      <alignment horizontal="left" vertical="center" wrapText="1"/>
      <protection locked="0"/>
    </xf>
    <xf numFmtId="3" fontId="52" fillId="0" borderId="211" xfId="181" applyNumberFormat="1" applyFont="1" applyFill="1" applyBorder="1" applyAlignment="1" applyProtection="1">
      <alignment horizontal="right" vertical="center"/>
      <protection locked="0"/>
    </xf>
    <xf numFmtId="10" fontId="53" fillId="0" borderId="234" xfId="177" applyNumberFormat="1" applyFont="1" applyFill="1" applyBorder="1" applyAlignment="1" applyProtection="1">
      <alignment horizontal="right" vertical="center"/>
      <protection locked="0"/>
    </xf>
    <xf numFmtId="3" fontId="40" fillId="0" borderId="277" xfId="181" applyNumberFormat="1" applyFont="1" applyFill="1" applyBorder="1" applyAlignment="1" applyProtection="1">
      <alignment horizontal="right" vertical="center"/>
      <protection locked="0"/>
    </xf>
    <xf numFmtId="3" fontId="40" fillId="0" borderId="267" xfId="181" applyNumberFormat="1" applyFont="1" applyFill="1" applyBorder="1" applyAlignment="1" applyProtection="1">
      <alignment horizontal="right" vertical="center"/>
      <protection locked="0"/>
    </xf>
    <xf numFmtId="3" fontId="10" fillId="0" borderId="211" xfId="181" applyNumberFormat="1" applyFont="1" applyFill="1" applyBorder="1" applyAlignment="1" applyProtection="1">
      <alignment horizontal="right" vertical="center"/>
      <protection locked="0"/>
    </xf>
    <xf numFmtId="3" fontId="10" fillId="0" borderId="212" xfId="181" applyNumberFormat="1" applyFont="1" applyFill="1" applyBorder="1" applyAlignment="1" applyProtection="1">
      <alignment horizontal="right" vertical="center"/>
      <protection locked="0"/>
    </xf>
    <xf numFmtId="3" fontId="10" fillId="0" borderId="231" xfId="181" applyNumberFormat="1" applyFont="1" applyFill="1" applyBorder="1" applyAlignment="1" applyProtection="1">
      <alignment horizontal="right" vertical="center"/>
      <protection locked="0"/>
    </xf>
    <xf numFmtId="10" fontId="10" fillId="0" borderId="212" xfId="177" applyNumberFormat="1" applyFont="1" applyFill="1" applyBorder="1" applyAlignment="1" applyProtection="1">
      <alignment horizontal="right" vertical="center"/>
      <protection locked="0"/>
    </xf>
    <xf numFmtId="3" fontId="59" fillId="0" borderId="211" xfId="181" applyNumberFormat="1" applyFont="1" applyFill="1" applyBorder="1" applyAlignment="1" applyProtection="1">
      <alignment horizontal="right" vertical="center"/>
      <protection locked="0"/>
    </xf>
    <xf numFmtId="3" fontId="59" fillId="0" borderId="212" xfId="181" applyNumberFormat="1" applyFont="1" applyFill="1" applyBorder="1" applyAlignment="1" applyProtection="1">
      <alignment horizontal="right" vertical="center"/>
      <protection locked="0"/>
    </xf>
    <xf numFmtId="3" fontId="59" fillId="0" borderId="231" xfId="181" applyNumberFormat="1" applyFont="1" applyFill="1" applyBorder="1" applyAlignment="1" applyProtection="1">
      <alignment horizontal="right" vertical="center"/>
      <protection locked="0"/>
    </xf>
    <xf numFmtId="10" fontId="59" fillId="0" borderId="212" xfId="177" applyNumberFormat="1" applyFont="1" applyFill="1" applyBorder="1" applyAlignment="1" applyProtection="1">
      <alignment horizontal="right" vertical="center"/>
      <protection locked="0"/>
    </xf>
    <xf numFmtId="49" fontId="10" fillId="16" borderId="228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238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213" xfId="181" applyNumberFormat="1" applyFont="1" applyFill="1" applyBorder="1" applyAlignment="1" applyProtection="1">
      <alignment horizontal="right" vertical="center"/>
      <protection locked="0"/>
    </xf>
    <xf numFmtId="49" fontId="10" fillId="16" borderId="209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275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278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279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277" xfId="181" applyNumberFormat="1" applyFont="1" applyFill="1" applyBorder="1" applyAlignment="1" applyProtection="1">
      <alignment horizontal="right" vertical="center"/>
      <protection locked="0"/>
    </xf>
    <xf numFmtId="3" fontId="10" fillId="0" borderId="41" xfId="181" applyNumberFormat="1" applyFont="1" applyFill="1" applyBorder="1" applyAlignment="1" applyProtection="1">
      <alignment horizontal="right" vertical="center"/>
      <protection locked="0"/>
    </xf>
    <xf numFmtId="3" fontId="10" fillId="0" borderId="21" xfId="181" applyNumberFormat="1" applyFont="1" applyFill="1" applyBorder="1" applyAlignment="1" applyProtection="1">
      <alignment horizontal="right" vertical="center"/>
      <protection locked="0"/>
    </xf>
    <xf numFmtId="49" fontId="10" fillId="16" borderId="277" xfId="181" applyNumberFormat="1" applyFont="1" applyFill="1" applyBorder="1" applyAlignment="1" applyProtection="1">
      <alignment vertical="center" wrapText="1"/>
      <protection locked="0"/>
    </xf>
    <xf numFmtId="3" fontId="59" fillId="0" borderId="277" xfId="181" applyNumberFormat="1" applyFont="1" applyFill="1" applyBorder="1" applyAlignment="1" applyProtection="1">
      <alignment horizontal="right" vertical="center"/>
      <protection locked="0"/>
    </xf>
    <xf numFmtId="3" fontId="59" fillId="0" borderId="41" xfId="181" applyNumberFormat="1" applyFont="1" applyFill="1" applyBorder="1" applyAlignment="1" applyProtection="1">
      <alignment horizontal="right" vertical="center"/>
      <protection locked="0"/>
    </xf>
    <xf numFmtId="49" fontId="10" fillId="16" borderId="237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0" xfId="181" applyNumberFormat="1" applyFont="1" applyFill="1" applyBorder="1" applyAlignment="1" applyProtection="1">
      <alignment vertical="center" wrapText="1"/>
      <protection locked="0"/>
    </xf>
    <xf numFmtId="49" fontId="10" fillId="16" borderId="52" xfId="181" applyNumberFormat="1" applyFont="1" applyFill="1" applyBorder="1" applyAlignment="1" applyProtection="1">
      <alignment vertical="center" wrapText="1"/>
      <protection locked="0"/>
    </xf>
    <xf numFmtId="49" fontId="10" fillId="16" borderId="280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281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58" xfId="181" applyNumberFormat="1" applyFont="1" applyFill="1" applyBorder="1" applyAlignment="1" applyProtection="1">
      <alignment horizontal="right" vertical="center"/>
      <protection locked="0"/>
    </xf>
    <xf numFmtId="49" fontId="10" fillId="16" borderId="211" xfId="181" applyNumberFormat="1" applyFont="1" applyFill="1" applyBorder="1" applyAlignment="1" applyProtection="1">
      <alignment vertical="center" wrapText="1"/>
      <protection locked="0"/>
    </xf>
    <xf numFmtId="49" fontId="10" fillId="16" borderId="213" xfId="181" applyNumberFormat="1" applyFont="1" applyFill="1" applyBorder="1" applyAlignment="1" applyProtection="1">
      <alignment vertical="center" wrapText="1"/>
      <protection locked="0"/>
    </xf>
    <xf numFmtId="2" fontId="10" fillId="16" borderId="277" xfId="181" applyNumberFormat="1" applyFont="1" applyFill="1" applyBorder="1" applyAlignment="1" applyProtection="1">
      <alignment horizontal="right" vertical="center" wrapText="1"/>
      <protection locked="0"/>
    </xf>
    <xf numFmtId="49" fontId="10" fillId="16" borderId="249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252" xfId="181" applyNumberFormat="1" applyFont="1" applyFill="1" applyBorder="1" applyAlignment="1" applyProtection="1">
      <alignment vertical="center" wrapText="1"/>
      <protection locked="0"/>
    </xf>
    <xf numFmtId="49" fontId="10" fillId="16" borderId="231" xfId="181" applyNumberFormat="1" applyFont="1" applyFill="1" applyBorder="1" applyAlignment="1" applyProtection="1">
      <alignment vertical="center" wrapText="1"/>
      <protection locked="0"/>
    </xf>
    <xf numFmtId="10" fontId="40" fillId="0" borderId="212" xfId="177" applyNumberFormat="1" applyFont="1" applyFill="1" applyBorder="1" applyAlignment="1" applyProtection="1">
      <alignment horizontal="right" vertical="center"/>
      <protection locked="0"/>
    </xf>
    <xf numFmtId="49" fontId="10" fillId="16" borderId="283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284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285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286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287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288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289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290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291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4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292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252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21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33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84" xfId="181" applyNumberFormat="1" applyFont="1" applyFill="1" applyBorder="1" applyAlignment="1" applyProtection="1">
      <alignment vertical="center" wrapText="1"/>
      <protection locked="0"/>
    </xf>
    <xf numFmtId="0" fontId="1" fillId="0" borderId="185" xfId="0" applyFont="1" applyBorder="1" applyAlignment="1">
      <alignment vertical="center"/>
    </xf>
    <xf numFmtId="0" fontId="1" fillId="0" borderId="184" xfId="0" applyFont="1" applyBorder="1" applyAlignment="1">
      <alignment vertical="center"/>
    </xf>
    <xf numFmtId="49" fontId="10" fillId="16" borderId="30" xfId="181" applyNumberFormat="1" applyFont="1" applyFill="1" applyBorder="1" applyAlignment="1" applyProtection="1">
      <alignment horizontal="center" vertical="center" wrapText="1"/>
      <protection locked="0"/>
    </xf>
    <xf numFmtId="3" fontId="59" fillId="0" borderId="140" xfId="181" applyNumberFormat="1" applyFont="1" applyFill="1" applyBorder="1" applyAlignment="1" applyProtection="1">
      <alignment horizontal="right" vertical="center"/>
      <protection locked="0"/>
    </xf>
    <xf numFmtId="3" fontId="59" fillId="0" borderId="30" xfId="181" applyNumberFormat="1" applyFont="1" applyFill="1" applyBorder="1" applyAlignment="1" applyProtection="1">
      <alignment horizontal="right" vertical="center"/>
      <protection locked="0"/>
    </xf>
    <xf numFmtId="3" fontId="59" fillId="0" borderId="293" xfId="181" applyNumberFormat="1" applyFont="1" applyFill="1" applyBorder="1" applyAlignment="1" applyProtection="1">
      <alignment horizontal="right" vertical="center"/>
      <protection locked="0"/>
    </xf>
    <xf numFmtId="10" fontId="59" fillId="0" borderId="51" xfId="177" applyNumberFormat="1" applyFont="1" applyFill="1" applyBorder="1" applyAlignment="1" applyProtection="1">
      <alignment horizontal="right" vertical="center"/>
      <protection locked="0"/>
    </xf>
    <xf numFmtId="49" fontId="10" fillId="16" borderId="282" xfId="181" applyNumberFormat="1" applyFont="1" applyFill="1" applyBorder="1" applyAlignment="1" applyProtection="1">
      <alignment horizontal="center" vertical="center" wrapText="1"/>
      <protection locked="0"/>
    </xf>
    <xf numFmtId="0" fontId="10" fillId="0" borderId="286" xfId="0" applyFont="1" applyBorder="1" applyAlignment="1">
      <alignment horizontal="left" vertical="center" wrapText="1"/>
    </xf>
    <xf numFmtId="3" fontId="48" fillId="0" borderId="212" xfId="182" applyNumberFormat="1" applyFont="1" applyBorder="1" applyAlignment="1">
      <alignment horizontal="right" vertical="center"/>
    </xf>
    <xf numFmtId="3" fontId="10" fillId="2" borderId="213" xfId="181" applyNumberFormat="1" applyFont="1" applyFill="1" applyBorder="1" applyAlignment="1" applyProtection="1">
      <alignment horizontal="right" vertical="center"/>
      <protection locked="0"/>
    </xf>
    <xf numFmtId="49" fontId="10" fillId="16" borderId="294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295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296" xfId="181" applyNumberFormat="1" applyFont="1" applyFill="1" applyBorder="1" applyAlignment="1" applyProtection="1">
      <alignment horizontal="center" vertical="center" wrapText="1"/>
      <protection locked="0"/>
    </xf>
    <xf numFmtId="3" fontId="48" fillId="0" borderId="33" xfId="182" applyNumberFormat="1" applyFont="1" applyBorder="1" applyAlignment="1">
      <alignment horizontal="right" vertical="center"/>
    </xf>
    <xf numFmtId="49" fontId="53" fillId="16" borderId="4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21" xfId="181" applyNumberFormat="1" applyFont="1" applyFill="1" applyBorder="1" applyAlignment="1" applyProtection="1">
      <alignment horizontal="left" vertical="center" wrapText="1"/>
      <protection locked="0"/>
    </xf>
    <xf numFmtId="3" fontId="53" fillId="0" borderId="41" xfId="181" applyNumberFormat="1" applyFont="1" applyFill="1" applyBorder="1" applyAlignment="1" applyProtection="1">
      <alignment horizontal="right" vertical="center"/>
      <protection locked="0"/>
    </xf>
    <xf numFmtId="49" fontId="53" fillId="16" borderId="290" xfId="181" applyNumberFormat="1" applyFont="1" applyFill="1" applyBorder="1" applyAlignment="1" applyProtection="1">
      <alignment horizontal="center" vertical="center" wrapText="1"/>
      <protection locked="0"/>
    </xf>
    <xf numFmtId="49" fontId="47" fillId="21" borderId="30" xfId="181" applyNumberFormat="1" applyFont="1" applyFill="1" applyBorder="1" applyAlignment="1" applyProtection="1">
      <alignment horizontal="center" vertical="center" wrapText="1"/>
      <protection locked="0"/>
    </xf>
    <xf numFmtId="3" fontId="27" fillId="2" borderId="50" xfId="181" applyNumberFormat="1" applyFont="1" applyFill="1" applyBorder="1" applyAlignment="1" applyProtection="1">
      <alignment horizontal="right" vertical="center"/>
      <protection locked="0"/>
    </xf>
    <xf numFmtId="3" fontId="27" fillId="2" borderId="51" xfId="181" applyNumberFormat="1" applyFont="1" applyFill="1" applyBorder="1" applyAlignment="1" applyProtection="1">
      <alignment horizontal="right" vertical="center"/>
      <protection locked="0"/>
    </xf>
    <xf numFmtId="3" fontId="27" fillId="2" borderId="61" xfId="181" applyNumberFormat="1" applyFont="1" applyFill="1" applyBorder="1" applyAlignment="1" applyProtection="1">
      <alignment horizontal="right" vertical="center"/>
      <protection locked="0"/>
    </xf>
    <xf numFmtId="49" fontId="47" fillId="21" borderId="39" xfId="181" applyNumberFormat="1" applyFont="1" applyFill="1" applyBorder="1" applyAlignment="1" applyProtection="1">
      <alignment horizontal="center" vertical="center" wrapText="1"/>
      <protection locked="0"/>
    </xf>
    <xf numFmtId="3" fontId="15" fillId="2" borderId="211" xfId="181" applyNumberFormat="1" applyFont="1" applyFill="1" applyBorder="1" applyAlignment="1" applyProtection="1">
      <alignment horizontal="right" vertical="center"/>
      <protection locked="0"/>
    </xf>
    <xf numFmtId="3" fontId="15" fillId="2" borderId="212" xfId="181" applyNumberFormat="1" applyFont="1" applyFill="1" applyBorder="1" applyAlignment="1" applyProtection="1">
      <alignment horizontal="right" vertical="center"/>
      <protection locked="0"/>
    </xf>
    <xf numFmtId="3" fontId="15" fillId="2" borderId="231" xfId="181" applyNumberFormat="1" applyFont="1" applyFill="1" applyBorder="1" applyAlignment="1" applyProtection="1">
      <alignment horizontal="right" vertical="center"/>
      <protection locked="0"/>
    </xf>
    <xf numFmtId="49" fontId="15" fillId="0" borderId="288" xfId="181" applyNumberFormat="1" applyFont="1" applyFill="1" applyBorder="1" applyAlignment="1" applyProtection="1">
      <alignment horizontal="center" vertical="center" wrapText="1"/>
      <protection locked="0"/>
    </xf>
    <xf numFmtId="49" fontId="15" fillId="0" borderId="282" xfId="181" applyNumberFormat="1" applyFont="1" applyFill="1" applyBorder="1" applyAlignment="1" applyProtection="1">
      <alignment horizontal="left" vertical="center" wrapText="1"/>
      <protection locked="0"/>
    </xf>
    <xf numFmtId="49" fontId="54" fillId="21" borderId="39" xfId="181" applyNumberFormat="1" applyFont="1" applyFill="1" applyBorder="1" applyAlignment="1" applyProtection="1">
      <alignment horizontal="center" vertical="center" wrapText="1"/>
      <protection locked="0"/>
    </xf>
    <xf numFmtId="49" fontId="53" fillId="0" borderId="297" xfId="181" applyNumberFormat="1" applyFont="1" applyFill="1" applyBorder="1" applyAlignment="1" applyProtection="1">
      <alignment horizontal="center" vertical="center" wrapText="1"/>
      <protection locked="0"/>
    </xf>
    <xf numFmtId="49" fontId="53" fillId="0" borderId="298" xfId="181" applyNumberFormat="1" applyFont="1" applyFill="1" applyBorder="1" applyAlignment="1" applyProtection="1">
      <alignment horizontal="left" vertical="center" wrapText="1"/>
      <protection locked="0"/>
    </xf>
    <xf numFmtId="3" fontId="54" fillId="2" borderId="211" xfId="181" applyNumberFormat="1" applyFont="1" applyFill="1" applyBorder="1" applyAlignment="1" applyProtection="1">
      <alignment horizontal="right" vertical="center"/>
      <protection locked="0"/>
    </xf>
    <xf numFmtId="3" fontId="27" fillId="0" borderId="277" xfId="181" applyNumberFormat="1" applyFont="1" applyFill="1" applyBorder="1" applyAlignment="1" applyProtection="1">
      <alignment horizontal="right" vertical="center"/>
      <protection locked="0"/>
    </xf>
    <xf numFmtId="3" fontId="27" fillId="0" borderId="292" xfId="181" applyNumberFormat="1" applyFont="1" applyFill="1" applyBorder="1" applyAlignment="1" applyProtection="1">
      <alignment horizontal="right" vertical="center"/>
      <protection locked="0"/>
    </xf>
    <xf numFmtId="10" fontId="27" fillId="0" borderId="301" xfId="177" applyNumberFormat="1" applyFont="1" applyFill="1" applyBorder="1" applyAlignment="1" applyProtection="1">
      <alignment horizontal="right" vertical="center"/>
      <protection locked="0"/>
    </xf>
    <xf numFmtId="3" fontId="15" fillId="0" borderId="304" xfId="181" applyNumberFormat="1" applyFont="1" applyFill="1" applyBorder="1" applyAlignment="1" applyProtection="1">
      <alignment horizontal="right" vertical="center"/>
      <protection locked="0"/>
    </xf>
    <xf numFmtId="3" fontId="15" fillId="0" borderId="301" xfId="181" applyNumberFormat="1" applyFont="1" applyFill="1" applyBorder="1" applyAlignment="1" applyProtection="1">
      <alignment horizontal="right" vertical="center"/>
      <protection locked="0"/>
    </xf>
    <xf numFmtId="3" fontId="15" fillId="0" borderId="305" xfId="181" applyNumberFormat="1" applyFont="1" applyFill="1" applyBorder="1" applyAlignment="1" applyProtection="1">
      <alignment horizontal="right" vertical="center"/>
      <protection locked="0"/>
    </xf>
    <xf numFmtId="10" fontId="15" fillId="0" borderId="301" xfId="177" applyNumberFormat="1" applyFont="1" applyFill="1" applyBorder="1" applyAlignment="1" applyProtection="1">
      <alignment horizontal="right" vertical="center"/>
      <protection locked="0"/>
    </xf>
    <xf numFmtId="49" fontId="15" fillId="16" borderId="306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307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308" xfId="181" applyNumberFormat="1" applyFont="1" applyFill="1" applyBorder="1" applyAlignment="1" applyProtection="1">
      <alignment horizontal="right" vertical="center"/>
      <protection locked="0"/>
    </xf>
    <xf numFmtId="3" fontId="15" fillId="0" borderId="309" xfId="181" applyNumberFormat="1" applyFont="1" applyFill="1" applyBorder="1" applyAlignment="1" applyProtection="1">
      <alignment horizontal="right" vertical="center"/>
      <protection locked="0"/>
    </xf>
    <xf numFmtId="49" fontId="54" fillId="0" borderId="52" xfId="181" applyNumberFormat="1" applyFont="1" applyFill="1" applyBorder="1" applyAlignment="1" applyProtection="1">
      <alignment horizontal="center" vertical="center" wrapText="1"/>
      <protection locked="0"/>
    </xf>
    <xf numFmtId="49" fontId="54" fillId="20" borderId="137" xfId="181" applyNumberFormat="1" applyFont="1" applyFill="1" applyBorder="1" applyAlignment="1" applyProtection="1">
      <alignment horizontal="center" vertical="center" wrapText="1"/>
      <protection locked="0"/>
    </xf>
    <xf numFmtId="49" fontId="54" fillId="20" borderId="26" xfId="181" applyNumberFormat="1" applyFont="1" applyFill="1" applyBorder="1" applyAlignment="1" applyProtection="1">
      <alignment horizontal="center" vertical="center" wrapText="1"/>
      <protection locked="0"/>
    </xf>
    <xf numFmtId="49" fontId="54" fillId="20" borderId="26" xfId="181" applyNumberFormat="1" applyFont="1" applyFill="1" applyBorder="1" applyAlignment="1" applyProtection="1">
      <alignment horizontal="left" vertical="center" wrapText="1"/>
      <protection locked="0"/>
    </xf>
    <xf numFmtId="3" fontId="54" fillId="0" borderId="41" xfId="181" applyNumberFormat="1" applyFont="1" applyFill="1" applyBorder="1" applyAlignment="1" applyProtection="1">
      <alignment horizontal="right" vertical="center"/>
      <protection locked="0"/>
    </xf>
    <xf numFmtId="3" fontId="54" fillId="0" borderId="21" xfId="181" applyNumberFormat="1" applyFont="1" applyFill="1" applyBorder="1" applyAlignment="1" applyProtection="1">
      <alignment horizontal="right" vertical="center"/>
      <protection locked="0"/>
    </xf>
    <xf numFmtId="10" fontId="53" fillId="0" borderId="41" xfId="177" applyNumberFormat="1" applyFont="1" applyFill="1" applyBorder="1" applyAlignment="1" applyProtection="1">
      <alignment horizontal="right" vertical="center"/>
      <protection locked="0"/>
    </xf>
    <xf numFmtId="0" fontId="54" fillId="0" borderId="0" xfId="181" applyNumberFormat="1" applyFont="1" applyFill="1" applyBorder="1" applyAlignment="1" applyProtection="1">
      <alignment horizontal="left" vertical="center"/>
      <protection locked="0"/>
    </xf>
    <xf numFmtId="0" fontId="47" fillId="0" borderId="0" xfId="181" applyNumberFormat="1" applyFont="1" applyFill="1" applyBorder="1" applyAlignment="1" applyProtection="1">
      <alignment horizontal="left" vertical="center"/>
      <protection locked="0"/>
    </xf>
    <xf numFmtId="0" fontId="54" fillId="0" borderId="310" xfId="181" applyNumberFormat="1" applyFont="1" applyFill="1" applyBorder="1" applyAlignment="1" applyProtection="1">
      <alignment horizontal="left" vertical="center"/>
      <protection locked="0"/>
    </xf>
    <xf numFmtId="3" fontId="44" fillId="0" borderId="312" xfId="181" applyNumberFormat="1" applyFont="1" applyFill="1" applyBorder="1" applyAlignment="1" applyProtection="1">
      <alignment horizontal="right" vertical="center"/>
      <protection locked="0"/>
    </xf>
    <xf numFmtId="3" fontId="53" fillId="0" borderId="313" xfId="181" applyNumberFormat="1" applyFont="1" applyFill="1" applyBorder="1" applyAlignment="1" applyProtection="1">
      <alignment horizontal="right" vertical="center"/>
      <protection locked="0"/>
    </xf>
    <xf numFmtId="3" fontId="53" fillId="0" borderId="314" xfId="181" applyNumberFormat="1" applyFont="1" applyFill="1" applyBorder="1" applyAlignment="1" applyProtection="1">
      <alignment horizontal="right" vertical="center"/>
      <protection locked="0"/>
    </xf>
    <xf numFmtId="10" fontId="53" fillId="0" borderId="313" xfId="177" applyNumberFormat="1" applyFont="1" applyFill="1" applyBorder="1" applyAlignment="1" applyProtection="1">
      <alignment horizontal="right" vertical="center"/>
      <protection locked="0"/>
    </xf>
    <xf numFmtId="0" fontId="53" fillId="0" borderId="310" xfId="181" applyNumberFormat="1" applyFont="1" applyFill="1" applyBorder="1" applyAlignment="1" applyProtection="1">
      <alignment horizontal="left" vertical="center"/>
      <protection locked="0"/>
    </xf>
    <xf numFmtId="3" fontId="53" fillId="0" borderId="316" xfId="181" applyNumberFormat="1" applyFont="1" applyFill="1" applyBorder="1" applyAlignment="1" applyProtection="1">
      <alignment horizontal="right" vertical="center"/>
      <protection locked="0"/>
    </xf>
    <xf numFmtId="49" fontId="53" fillId="16" borderId="317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318" xfId="181" applyNumberFormat="1" applyFont="1" applyFill="1" applyBorder="1" applyAlignment="1" applyProtection="1">
      <alignment horizontal="left" vertical="center" wrapText="1"/>
      <protection locked="0"/>
    </xf>
    <xf numFmtId="3" fontId="53" fillId="0" borderId="319" xfId="181" applyNumberFormat="1" applyFont="1" applyFill="1" applyBorder="1" applyAlignment="1" applyProtection="1">
      <alignment horizontal="right" vertical="center"/>
      <protection locked="0"/>
    </xf>
    <xf numFmtId="3" fontId="53" fillId="0" borderId="320" xfId="181" applyNumberFormat="1" applyFont="1" applyFill="1" applyBorder="1" applyAlignment="1" applyProtection="1">
      <alignment horizontal="right" vertical="center"/>
      <protection locked="0"/>
    </xf>
    <xf numFmtId="3" fontId="53" fillId="0" borderId="45" xfId="181" applyNumberFormat="1" applyFont="1" applyFill="1" applyBorder="1" applyAlignment="1" applyProtection="1">
      <alignment horizontal="right" vertical="center"/>
      <protection locked="0"/>
    </xf>
    <xf numFmtId="10" fontId="53" fillId="0" borderId="320" xfId="177" applyNumberFormat="1" applyFont="1" applyFill="1" applyBorder="1" applyAlignment="1" applyProtection="1">
      <alignment horizontal="right" vertical="center"/>
      <protection locked="0"/>
    </xf>
    <xf numFmtId="3" fontId="15" fillId="0" borderId="316" xfId="181" applyNumberFormat="1" applyFont="1" applyFill="1" applyBorder="1" applyAlignment="1" applyProtection="1">
      <alignment horizontal="right" vertical="center"/>
      <protection locked="0"/>
    </xf>
    <xf numFmtId="3" fontId="15" fillId="0" borderId="313" xfId="181" applyNumberFormat="1" applyFont="1" applyFill="1" applyBorder="1" applyAlignment="1" applyProtection="1">
      <alignment horizontal="right" vertical="center"/>
      <protection locked="0"/>
    </xf>
    <xf numFmtId="3" fontId="15" fillId="0" borderId="323" xfId="181" applyNumberFormat="1" applyFont="1" applyFill="1" applyBorder="1" applyAlignment="1" applyProtection="1">
      <alignment horizontal="right" vertical="center"/>
      <protection locked="0"/>
    </xf>
    <xf numFmtId="10" fontId="15" fillId="0" borderId="313" xfId="177" applyNumberFormat="1" applyFont="1" applyFill="1" applyBorder="1" applyAlignment="1" applyProtection="1">
      <alignment horizontal="right" vertical="center"/>
      <protection locked="0"/>
    </xf>
    <xf numFmtId="49" fontId="15" fillId="16" borderId="324" xfId="181" applyNumberFormat="1" applyFont="1" applyFill="1" applyBorder="1" applyAlignment="1" applyProtection="1">
      <alignment horizontal="left" vertical="center" wrapText="1"/>
      <protection locked="0"/>
    </xf>
    <xf numFmtId="49" fontId="47" fillId="19" borderId="112" xfId="181" applyNumberFormat="1" applyFont="1" applyFill="1" applyBorder="1" applyAlignment="1" applyProtection="1">
      <alignment horizontal="center" vertical="center" wrapText="1"/>
      <protection locked="0"/>
    </xf>
    <xf numFmtId="49" fontId="47" fillId="19" borderId="113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248" xfId="181" applyNumberFormat="1" applyFont="1" applyFill="1" applyBorder="1" applyAlignment="1" applyProtection="1">
      <alignment horizontal="center" vertical="center" wrapText="1"/>
      <protection locked="0"/>
    </xf>
    <xf numFmtId="49" fontId="15" fillId="0" borderId="326" xfId="181" applyNumberFormat="1" applyFont="1" applyFill="1" applyBorder="1" applyAlignment="1" applyProtection="1">
      <alignment horizontal="left" vertical="center" wrapText="1"/>
      <protection locked="0"/>
    </xf>
    <xf numFmtId="49" fontId="47" fillId="0" borderId="213" xfId="181" applyNumberFormat="1" applyFont="1" applyFill="1" applyBorder="1" applyAlignment="1" applyProtection="1">
      <alignment horizontal="center" vertical="center" wrapText="1"/>
      <protection locked="0"/>
    </xf>
    <xf numFmtId="49" fontId="47" fillId="0" borderId="327" xfId="181" applyNumberFormat="1" applyFont="1" applyFill="1" applyBorder="1" applyAlignment="1" applyProtection="1">
      <alignment horizontal="left" vertical="center" wrapText="1"/>
      <protection locked="0"/>
    </xf>
    <xf numFmtId="3" fontId="47" fillId="2" borderId="211" xfId="181" applyNumberFormat="1" applyFont="1" applyFill="1" applyBorder="1" applyAlignment="1" applyProtection="1">
      <alignment horizontal="right" vertical="center"/>
      <protection locked="0"/>
    </xf>
    <xf numFmtId="3" fontId="27" fillId="0" borderId="312" xfId="181" applyNumberFormat="1" applyFont="1" applyFill="1" applyBorder="1" applyAlignment="1" applyProtection="1">
      <alignment horizontal="right" vertical="center"/>
      <protection locked="0"/>
    </xf>
    <xf numFmtId="49" fontId="15" fillId="16" borderId="328" xfId="181" applyNumberFormat="1" applyFont="1" applyFill="1" applyBorder="1" applyAlignment="1" applyProtection="1">
      <alignment horizontal="center" vertical="center" wrapText="1"/>
      <protection locked="0"/>
    </xf>
    <xf numFmtId="49" fontId="57" fillId="19" borderId="168" xfId="181" applyNumberFormat="1" applyFont="1" applyFill="1" applyBorder="1" applyAlignment="1" applyProtection="1">
      <alignment horizontal="center" vertical="center" wrapText="1"/>
      <protection locked="0"/>
    </xf>
    <xf numFmtId="3" fontId="40" fillId="20" borderId="131" xfId="181" applyNumberFormat="1" applyFont="1" applyFill="1" applyBorder="1" applyAlignment="1" applyProtection="1">
      <alignment horizontal="right" vertical="center"/>
      <protection locked="0"/>
    </xf>
    <xf numFmtId="3" fontId="40" fillId="20" borderId="128" xfId="181" applyNumberFormat="1" applyFont="1" applyFill="1" applyBorder="1" applyAlignment="1" applyProtection="1">
      <alignment horizontal="right" vertical="center"/>
      <protection locked="0"/>
    </xf>
    <xf numFmtId="3" fontId="40" fillId="20" borderId="132" xfId="181" applyNumberFormat="1" applyFont="1" applyFill="1" applyBorder="1" applyAlignment="1" applyProtection="1">
      <alignment horizontal="right" vertical="center"/>
      <protection locked="0"/>
    </xf>
    <xf numFmtId="49" fontId="57" fillId="21" borderId="30" xfId="181" applyNumberFormat="1" applyFont="1" applyFill="1" applyBorder="1" applyAlignment="1" applyProtection="1">
      <alignment horizontal="center" vertical="center" wrapText="1"/>
      <protection locked="0"/>
    </xf>
    <xf numFmtId="3" fontId="40" fillId="0" borderId="52" xfId="181" applyNumberFormat="1" applyFont="1" applyFill="1" applyBorder="1" applyAlignment="1" applyProtection="1">
      <alignment horizontal="right" vertical="center"/>
      <protection locked="0"/>
    </xf>
    <xf numFmtId="3" fontId="40" fillId="0" borderId="39" xfId="181" applyNumberFormat="1" applyFont="1" applyFill="1" applyBorder="1" applyAlignment="1" applyProtection="1">
      <alignment horizontal="right" vertical="center"/>
      <protection locked="0"/>
    </xf>
    <xf numFmtId="3" fontId="40" fillId="0" borderId="49" xfId="181" applyNumberFormat="1" applyFont="1" applyFill="1" applyBorder="1" applyAlignment="1" applyProtection="1">
      <alignment horizontal="right" vertical="center"/>
      <protection locked="0"/>
    </xf>
    <xf numFmtId="49" fontId="59" fillId="21" borderId="39" xfId="181" applyNumberFormat="1" applyFont="1" applyFill="1" applyBorder="1" applyAlignment="1" applyProtection="1">
      <alignment horizontal="center" vertical="center" wrapText="1"/>
      <protection locked="0"/>
    </xf>
    <xf numFmtId="3" fontId="10" fillId="0" borderId="316" xfId="181" applyNumberFormat="1" applyFont="1" applyFill="1" applyBorder="1" applyAlignment="1" applyProtection="1">
      <alignment horizontal="right" vertical="center"/>
      <protection locked="0"/>
    </xf>
    <xf numFmtId="3" fontId="10" fillId="0" borderId="323" xfId="181" applyNumberFormat="1" applyFont="1" applyFill="1" applyBorder="1" applyAlignment="1" applyProtection="1">
      <alignment horizontal="right" vertical="center"/>
      <protection locked="0"/>
    </xf>
    <xf numFmtId="49" fontId="57" fillId="21" borderId="39" xfId="181" applyNumberFormat="1" applyFont="1" applyFill="1" applyBorder="1" applyAlignment="1" applyProtection="1">
      <alignment horizontal="center" vertical="center" wrapText="1"/>
      <protection locked="0"/>
    </xf>
    <xf numFmtId="3" fontId="40" fillId="2" borderId="316" xfId="181" applyNumberFormat="1" applyFont="1" applyFill="1" applyBorder="1" applyAlignment="1" applyProtection="1">
      <alignment horizontal="right" vertical="center"/>
      <protection locked="0"/>
    </xf>
    <xf numFmtId="3" fontId="40" fillId="2" borderId="212" xfId="181" applyNumberFormat="1" applyFont="1" applyFill="1" applyBorder="1" applyAlignment="1" applyProtection="1">
      <alignment horizontal="right" vertical="center"/>
      <protection locked="0"/>
    </xf>
    <xf numFmtId="3" fontId="40" fillId="2" borderId="323" xfId="181" applyNumberFormat="1" applyFont="1" applyFill="1" applyBorder="1" applyAlignment="1" applyProtection="1">
      <alignment horizontal="right" vertical="center"/>
      <protection locked="0"/>
    </xf>
    <xf numFmtId="3" fontId="10" fillId="2" borderId="316" xfId="181" applyNumberFormat="1" applyFont="1" applyFill="1" applyBorder="1" applyAlignment="1" applyProtection="1">
      <alignment horizontal="right" vertical="center"/>
      <protection locked="0"/>
    </xf>
    <xf numFmtId="3" fontId="10" fillId="2" borderId="212" xfId="181" applyNumberFormat="1" applyFont="1" applyFill="1" applyBorder="1" applyAlignment="1" applyProtection="1">
      <alignment horizontal="right" vertical="center"/>
      <protection locked="0"/>
    </xf>
    <xf numFmtId="3" fontId="10" fillId="2" borderId="323" xfId="181" applyNumberFormat="1" applyFont="1" applyFill="1" applyBorder="1" applyAlignment="1" applyProtection="1">
      <alignment horizontal="right" vertical="center"/>
      <protection locked="0"/>
    </xf>
    <xf numFmtId="49" fontId="10" fillId="0" borderId="331" xfId="181" applyNumberFormat="1" applyFont="1" applyFill="1" applyBorder="1" applyAlignment="1" applyProtection="1">
      <alignment horizontal="center" vertical="center" wrapText="1"/>
      <protection locked="0"/>
    </xf>
    <xf numFmtId="49" fontId="10" fillId="0" borderId="332" xfId="181" applyNumberFormat="1" applyFont="1" applyFill="1" applyBorder="1" applyAlignment="1" applyProtection="1">
      <alignment horizontal="left" vertical="center" wrapText="1"/>
      <protection locked="0"/>
    </xf>
    <xf numFmtId="49" fontId="10" fillId="21" borderId="331" xfId="181" applyNumberFormat="1" applyFont="1" applyFill="1" applyBorder="1" applyAlignment="1" applyProtection="1">
      <alignment horizontal="center" vertical="center" wrapText="1"/>
      <protection locked="0"/>
    </xf>
    <xf numFmtId="49" fontId="10" fillId="21" borderId="314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319" xfId="181" applyNumberFormat="1" applyFont="1" applyFill="1" applyBorder="1" applyAlignment="1" applyProtection="1">
      <alignment horizontal="right" vertical="center"/>
      <protection locked="0"/>
    </xf>
    <xf numFmtId="3" fontId="10" fillId="0" borderId="320" xfId="181" applyNumberFormat="1" applyFont="1" applyFill="1" applyBorder="1" applyAlignment="1" applyProtection="1">
      <alignment horizontal="right" vertical="center"/>
      <protection locked="0"/>
    </xf>
    <xf numFmtId="3" fontId="10" fillId="0" borderId="333" xfId="181" applyNumberFormat="1" applyFont="1" applyFill="1" applyBorder="1" applyAlignment="1" applyProtection="1">
      <alignment horizontal="right" vertical="center"/>
      <protection locked="0"/>
    </xf>
    <xf numFmtId="49" fontId="10" fillId="16" borderId="334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335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336" xfId="181" applyNumberFormat="1" applyFont="1" applyFill="1" applyBorder="1" applyAlignment="1" applyProtection="1">
      <alignment horizontal="right" vertical="center"/>
      <protection locked="0"/>
    </xf>
    <xf numFmtId="3" fontId="10" fillId="0" borderId="337" xfId="181" applyNumberFormat="1" applyFont="1" applyFill="1" applyBorder="1" applyAlignment="1" applyProtection="1">
      <alignment horizontal="right" vertical="center"/>
      <protection locked="0"/>
    </xf>
    <xf numFmtId="49" fontId="53" fillId="16" borderId="33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334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335" xfId="181" applyNumberFormat="1" applyFont="1" applyFill="1" applyBorder="1" applyAlignment="1" applyProtection="1">
      <alignment horizontal="left" vertical="center" wrapText="1"/>
      <protection locked="0"/>
    </xf>
    <xf numFmtId="3" fontId="53" fillId="0" borderId="336" xfId="181" applyNumberFormat="1" applyFont="1" applyFill="1" applyBorder="1" applyAlignment="1" applyProtection="1">
      <alignment horizontal="right" vertical="center"/>
      <protection locked="0"/>
    </xf>
    <xf numFmtId="49" fontId="57" fillId="19" borderId="68" xfId="181" applyNumberFormat="1" applyFont="1" applyFill="1" applyBorder="1" applyAlignment="1" applyProtection="1">
      <alignment horizontal="center" vertical="center" wrapText="1"/>
      <protection locked="0"/>
    </xf>
    <xf numFmtId="49" fontId="57" fillId="19" borderId="69" xfId="181" applyNumberFormat="1" applyFont="1" applyFill="1" applyBorder="1" applyAlignment="1" applyProtection="1">
      <alignment horizontal="left" vertical="center" wrapText="1"/>
      <protection locked="0"/>
    </xf>
    <xf numFmtId="3" fontId="57" fillId="20" borderId="31" xfId="181" applyNumberFormat="1" applyFont="1" applyFill="1" applyBorder="1" applyAlignment="1" applyProtection="1">
      <alignment horizontal="right" vertical="center"/>
      <protection locked="0"/>
    </xf>
    <xf numFmtId="3" fontId="57" fillId="20" borderId="30" xfId="181" applyNumberFormat="1" applyFont="1" applyFill="1" applyBorder="1" applyAlignment="1" applyProtection="1">
      <alignment horizontal="right" vertical="center"/>
      <protection locked="0"/>
    </xf>
    <xf numFmtId="3" fontId="57" fillId="20" borderId="32" xfId="181" applyNumberFormat="1" applyFont="1" applyFill="1" applyBorder="1" applyAlignment="1" applyProtection="1">
      <alignment horizontal="right" vertical="center"/>
      <protection locked="0"/>
    </xf>
    <xf numFmtId="3" fontId="40" fillId="0" borderId="50" xfId="181" applyNumberFormat="1" applyFont="1" applyFill="1" applyBorder="1" applyAlignment="1" applyProtection="1">
      <alignment horizontal="right" vertical="center"/>
      <protection locked="0"/>
    </xf>
    <xf numFmtId="3" fontId="59" fillId="0" borderId="316" xfId="181" applyNumberFormat="1" applyFont="1" applyFill="1" applyBorder="1" applyAlignment="1" applyProtection="1">
      <alignment horizontal="right" vertical="center"/>
      <protection locked="0"/>
    </xf>
    <xf numFmtId="3" fontId="59" fillId="0" borderId="323" xfId="181" applyNumberFormat="1" applyFont="1" applyFill="1" applyBorder="1" applyAlignment="1" applyProtection="1">
      <alignment horizontal="right" vertical="center"/>
      <protection locked="0"/>
    </xf>
    <xf numFmtId="49" fontId="10" fillId="16" borderId="321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322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310" xfId="182" applyNumberFormat="1" applyFont="1" applyBorder="1" applyAlignment="1">
      <alignment horizontal="right" vertical="center"/>
    </xf>
    <xf numFmtId="49" fontId="10" fillId="16" borderId="339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211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323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314" xfId="181" applyNumberFormat="1" applyFont="1" applyFill="1" applyBorder="1" applyAlignment="1" applyProtection="1">
      <alignment horizontal="right" vertical="center"/>
      <protection locked="0"/>
    </xf>
    <xf numFmtId="3" fontId="10" fillId="2" borderId="211" xfId="181" applyNumberFormat="1" applyFont="1" applyFill="1" applyBorder="1" applyAlignment="1" applyProtection="1">
      <alignment horizontal="right" vertical="center"/>
      <protection locked="0"/>
    </xf>
    <xf numFmtId="49" fontId="10" fillId="21" borderId="249" xfId="181" applyNumberFormat="1" applyFont="1" applyFill="1" applyBorder="1" applyAlignment="1" applyProtection="1">
      <alignment horizontal="center" vertical="center" wrapText="1"/>
      <protection locked="0"/>
    </xf>
    <xf numFmtId="49" fontId="10" fillId="21" borderId="252" xfId="181" applyNumberFormat="1" applyFont="1" applyFill="1" applyBorder="1" applyAlignment="1" applyProtection="1">
      <alignment horizontal="left" vertical="center" wrapText="1"/>
      <protection locked="0"/>
    </xf>
    <xf numFmtId="49" fontId="10" fillId="21" borderId="211" xfId="181" applyNumberFormat="1" applyFont="1" applyFill="1" applyBorder="1" applyAlignment="1" applyProtection="1">
      <alignment horizontal="center" vertical="center" wrapText="1"/>
      <protection locked="0"/>
    </xf>
    <xf numFmtId="49" fontId="10" fillId="21" borderId="323" xfId="181" applyNumberFormat="1" applyFont="1" applyFill="1" applyBorder="1" applyAlignment="1" applyProtection="1">
      <alignment horizontal="left" vertical="center" wrapText="1"/>
      <protection locked="0"/>
    </xf>
    <xf numFmtId="3" fontId="40" fillId="0" borderId="211" xfId="181" applyNumberFormat="1" applyFont="1" applyFill="1" applyBorder="1" applyAlignment="1" applyProtection="1">
      <alignment horizontal="right" vertical="center"/>
      <protection locked="0"/>
    </xf>
    <xf numFmtId="3" fontId="40" fillId="0" borderId="212" xfId="181" applyNumberFormat="1" applyFont="1" applyFill="1" applyBorder="1" applyAlignment="1" applyProtection="1">
      <alignment horizontal="right" vertical="center"/>
      <protection locked="0"/>
    </xf>
    <xf numFmtId="3" fontId="40" fillId="0" borderId="323" xfId="181" applyNumberFormat="1" applyFont="1" applyFill="1" applyBorder="1" applyAlignment="1" applyProtection="1">
      <alignment horizontal="right" vertical="center"/>
      <protection locked="0"/>
    </xf>
    <xf numFmtId="3" fontId="10" fillId="0" borderId="211" xfId="181" applyNumberFormat="1" applyFont="1" applyFill="1" applyBorder="1" applyAlignment="1" applyProtection="1">
      <alignment vertical="center"/>
      <protection locked="0"/>
    </xf>
    <xf numFmtId="3" fontId="10" fillId="0" borderId="212" xfId="181" applyNumberFormat="1" applyFont="1" applyFill="1" applyBorder="1" applyAlignment="1" applyProtection="1">
      <alignment vertical="center"/>
      <protection locked="0"/>
    </xf>
    <xf numFmtId="3" fontId="10" fillId="0" borderId="323" xfId="181" applyNumberFormat="1" applyFont="1" applyFill="1" applyBorder="1" applyAlignment="1" applyProtection="1">
      <alignment vertical="center"/>
      <protection locked="0"/>
    </xf>
    <xf numFmtId="49" fontId="10" fillId="16" borderId="24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63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55" xfId="181" applyNumberFormat="1" applyFont="1" applyFill="1" applyBorder="1" applyAlignment="1" applyProtection="1">
      <alignment vertical="center"/>
      <protection locked="0"/>
    </xf>
    <xf numFmtId="3" fontId="10" fillId="0" borderId="53" xfId="181" applyNumberFormat="1" applyFont="1" applyFill="1" applyBorder="1" applyAlignment="1" applyProtection="1">
      <alignment horizontal="right" vertical="center"/>
      <protection locked="0"/>
    </xf>
    <xf numFmtId="49" fontId="15" fillId="0" borderId="340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341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314" xfId="181" applyNumberFormat="1" applyFont="1" applyFill="1" applyBorder="1" applyAlignment="1" applyProtection="1">
      <alignment horizontal="right" vertical="center"/>
      <protection locked="0"/>
    </xf>
    <xf numFmtId="49" fontId="15" fillId="16" borderId="342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343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344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345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346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346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342" xfId="181" applyNumberFormat="1" applyFont="1" applyFill="1" applyBorder="1" applyAlignment="1" applyProtection="1">
      <alignment horizontal="center" vertical="center" wrapText="1"/>
      <protection locked="0"/>
    </xf>
    <xf numFmtId="3" fontId="15" fillId="0" borderId="312" xfId="181" applyNumberFormat="1" applyFont="1" applyFill="1" applyBorder="1" applyAlignment="1" applyProtection="1">
      <alignment horizontal="right" vertical="center"/>
      <protection locked="0"/>
    </xf>
    <xf numFmtId="3" fontId="15" fillId="0" borderId="336" xfId="181" applyNumberFormat="1" applyFont="1" applyFill="1" applyBorder="1" applyAlignment="1" applyProtection="1">
      <alignment horizontal="right" vertical="center"/>
      <protection locked="0"/>
    </xf>
    <xf numFmtId="49" fontId="15" fillId="16" borderId="334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335" xfId="181" applyNumberFormat="1" applyFont="1" applyFill="1" applyBorder="1" applyAlignment="1" applyProtection="1">
      <alignment horizontal="left" vertical="center" wrapText="1"/>
      <protection locked="0"/>
    </xf>
    <xf numFmtId="10" fontId="15" fillId="0" borderId="320" xfId="177" applyNumberFormat="1" applyFont="1" applyFill="1" applyBorder="1" applyAlignment="1" applyProtection="1">
      <alignment horizontal="right" vertical="center"/>
      <protection locked="0"/>
    </xf>
    <xf numFmtId="3" fontId="27" fillId="2" borderId="312" xfId="181" applyNumberFormat="1" applyFont="1" applyFill="1" applyBorder="1" applyAlignment="1" applyProtection="1">
      <alignment horizontal="right" vertical="center"/>
      <protection locked="0"/>
    </xf>
    <xf numFmtId="3" fontId="27" fillId="2" borderId="349" xfId="181" applyNumberFormat="1" applyFont="1" applyFill="1" applyBorder="1" applyAlignment="1" applyProtection="1">
      <alignment horizontal="right" vertical="center"/>
      <protection locked="0"/>
    </xf>
    <xf numFmtId="3" fontId="15" fillId="2" borderId="323" xfId="181" applyNumberFormat="1" applyFont="1" applyFill="1" applyBorder="1" applyAlignment="1" applyProtection="1">
      <alignment horizontal="right" vertical="center"/>
      <protection locked="0"/>
    </xf>
    <xf numFmtId="3" fontId="48" fillId="0" borderId="323" xfId="181" applyNumberFormat="1" applyFont="1" applyFill="1" applyBorder="1" applyAlignment="1" applyProtection="1">
      <alignment horizontal="right" vertical="center"/>
      <protection locked="0"/>
    </xf>
    <xf numFmtId="3" fontId="15" fillId="0" borderId="331" xfId="182" applyNumberFormat="1" applyFont="1" applyBorder="1" applyAlignment="1">
      <alignment horizontal="right" vertical="center"/>
    </xf>
    <xf numFmtId="49" fontId="15" fillId="16" borderId="350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351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352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353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354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355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356" xfId="181" applyNumberFormat="1" applyFont="1" applyFill="1" applyBorder="1" applyAlignment="1" applyProtection="1">
      <alignment horizontal="right" vertical="center"/>
      <protection locked="0"/>
    </xf>
    <xf numFmtId="49" fontId="15" fillId="16" borderId="357" xfId="181" applyNumberFormat="1" applyFont="1" applyFill="1" applyBorder="1" applyAlignment="1" applyProtection="1">
      <alignment horizontal="center" vertical="center" wrapText="1"/>
      <protection locked="0"/>
    </xf>
    <xf numFmtId="3" fontId="15" fillId="0" borderId="337" xfId="181" applyNumberFormat="1" applyFont="1" applyFill="1" applyBorder="1" applyAlignment="1" applyProtection="1">
      <alignment horizontal="right" vertical="center"/>
      <protection locked="0"/>
    </xf>
    <xf numFmtId="3" fontId="48" fillId="2" borderId="212" xfId="181" applyNumberFormat="1" applyFont="1" applyFill="1" applyBorder="1" applyAlignment="1" applyProtection="1">
      <alignment horizontal="right" vertical="center"/>
      <protection locked="0"/>
    </xf>
    <xf numFmtId="3" fontId="48" fillId="2" borderId="337" xfId="181" applyNumberFormat="1" applyFont="1" applyFill="1" applyBorder="1" applyAlignment="1" applyProtection="1">
      <alignment horizontal="right" vertical="center"/>
      <protection locked="0"/>
    </xf>
    <xf numFmtId="49" fontId="15" fillId="16" borderId="331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359" xfId="181" applyNumberFormat="1" applyFont="1" applyFill="1" applyBorder="1" applyAlignment="1" applyProtection="1">
      <alignment horizontal="left" vertical="center" wrapText="1"/>
      <protection locked="0"/>
    </xf>
    <xf numFmtId="3" fontId="15" fillId="2" borderId="336" xfId="181" applyNumberFormat="1" applyFont="1" applyFill="1" applyBorder="1" applyAlignment="1" applyProtection="1">
      <alignment horizontal="right" vertical="center"/>
      <protection locked="0"/>
    </xf>
    <xf numFmtId="49" fontId="15" fillId="21" borderId="353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9" xfId="181" applyNumberFormat="1" applyFont="1" applyFill="1" applyBorder="1" applyAlignment="1" applyProtection="1">
      <alignment horizontal="center" vertical="center" wrapText="1"/>
      <protection locked="0"/>
    </xf>
    <xf numFmtId="49" fontId="15" fillId="21" borderId="0" xfId="181" applyNumberFormat="1" applyFont="1" applyFill="1" applyBorder="1" applyAlignment="1" applyProtection="1">
      <alignment horizontal="left" vertical="center" wrapText="1"/>
      <protection locked="0"/>
    </xf>
    <xf numFmtId="3" fontId="15" fillId="2" borderId="52" xfId="181" applyNumberFormat="1" applyFont="1" applyFill="1" applyBorder="1" applyAlignment="1" applyProtection="1">
      <alignment horizontal="right" vertical="center"/>
      <protection locked="0"/>
    </xf>
    <xf numFmtId="49" fontId="15" fillId="16" borderId="360" xfId="181" applyNumberFormat="1" applyFont="1" applyFill="1" applyBorder="1" applyAlignment="1" applyProtection="1">
      <alignment horizontal="center" vertical="center" wrapText="1"/>
      <protection locked="0"/>
    </xf>
    <xf numFmtId="49" fontId="15" fillId="21" borderId="359" xfId="181" applyNumberFormat="1" applyFont="1" applyFill="1" applyBorder="1" applyAlignment="1" applyProtection="1">
      <alignment horizontal="left" vertical="center" wrapText="1"/>
      <protection locked="0"/>
    </xf>
    <xf numFmtId="49" fontId="15" fillId="21" borderId="361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362" xfId="181" applyNumberFormat="1" applyFont="1" applyFill="1" applyBorder="1" applyAlignment="1" applyProtection="1">
      <alignment horizontal="left" vertical="center" wrapText="1"/>
      <protection locked="0"/>
    </xf>
    <xf numFmtId="49" fontId="15" fillId="21" borderId="363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45" xfId="181" applyNumberFormat="1" applyFont="1" applyFill="1" applyBorder="1" applyAlignment="1" applyProtection="1">
      <alignment horizontal="center" vertical="center" wrapText="1"/>
      <protection locked="0"/>
    </xf>
    <xf numFmtId="49" fontId="15" fillId="21" borderId="337" xfId="181" applyNumberFormat="1" applyFont="1" applyFill="1" applyBorder="1" applyAlignment="1" applyProtection="1">
      <alignment horizontal="left" vertical="center" wrapText="1"/>
      <protection locked="0"/>
    </xf>
    <xf numFmtId="3" fontId="15" fillId="2" borderId="364" xfId="181" applyNumberFormat="1" applyFont="1" applyFill="1" applyBorder="1" applyAlignment="1" applyProtection="1">
      <alignment horizontal="right" vertical="center"/>
      <protection locked="0"/>
    </xf>
    <xf numFmtId="3" fontId="15" fillId="0" borderId="365" xfId="181" applyNumberFormat="1" applyFont="1" applyFill="1" applyBorder="1" applyAlignment="1" applyProtection="1">
      <alignment horizontal="right" vertical="center"/>
      <protection locked="0"/>
    </xf>
    <xf numFmtId="49" fontId="15" fillId="16" borderId="356" xfId="181" applyNumberFormat="1" applyFont="1" applyFill="1" applyBorder="1" applyAlignment="1" applyProtection="1">
      <alignment horizontal="center" vertical="center" wrapText="1"/>
      <protection locked="0"/>
    </xf>
    <xf numFmtId="0" fontId="93" fillId="2" borderId="52" xfId="0" applyFont="1" applyFill="1" applyBorder="1" applyAlignment="1">
      <alignment horizontal="center" vertical="center" wrapText="1"/>
    </xf>
    <xf numFmtId="3" fontId="15" fillId="2" borderId="39" xfId="181" applyNumberFormat="1" applyFont="1" applyFill="1" applyBorder="1" applyAlignment="1" applyProtection="1">
      <alignment horizontal="right" vertical="center"/>
      <protection locked="0"/>
    </xf>
    <xf numFmtId="3" fontId="15" fillId="2" borderId="0" xfId="181" applyNumberFormat="1" applyFont="1" applyFill="1" applyBorder="1" applyAlignment="1" applyProtection="1">
      <alignment horizontal="right" vertical="center"/>
      <protection locked="0"/>
    </xf>
    <xf numFmtId="49" fontId="15" fillId="16" borderId="4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337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181" applyNumberFormat="1" applyFont="1" applyFill="1" applyBorder="1" applyAlignment="1" applyProtection="1">
      <alignment horizontal="center" vertical="center" wrapText="1"/>
      <protection locked="0"/>
    </xf>
    <xf numFmtId="3" fontId="27" fillId="2" borderId="41" xfId="181" applyNumberFormat="1" applyFont="1" applyFill="1" applyBorder="1" applyAlignment="1" applyProtection="1">
      <alignment horizontal="right" vertical="center"/>
      <protection locked="0"/>
    </xf>
    <xf numFmtId="3" fontId="15" fillId="2" borderId="367" xfId="181" applyNumberFormat="1" applyFont="1" applyFill="1" applyBorder="1" applyAlignment="1" applyProtection="1">
      <alignment horizontal="right" vertical="center"/>
      <protection locked="0"/>
    </xf>
    <xf numFmtId="3" fontId="15" fillId="2" borderId="368" xfId="181" applyNumberFormat="1" applyFont="1" applyFill="1" applyBorder="1" applyAlignment="1" applyProtection="1">
      <alignment horizontal="right" vertical="center"/>
      <protection locked="0"/>
    </xf>
    <xf numFmtId="49" fontId="15" fillId="0" borderId="55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62" xfId="181" applyNumberFormat="1" applyFont="1" applyFill="1" applyBorder="1" applyAlignment="1" applyProtection="1">
      <alignment horizontal="left" vertical="center" wrapText="1"/>
      <protection locked="0"/>
    </xf>
    <xf numFmtId="3" fontId="15" fillId="2" borderId="55" xfId="181" applyNumberFormat="1" applyFont="1" applyFill="1" applyBorder="1" applyAlignment="1" applyProtection="1">
      <alignment horizontal="right" vertical="center"/>
      <protection locked="0"/>
    </xf>
    <xf numFmtId="3" fontId="15" fillId="0" borderId="39" xfId="181" applyNumberFormat="1" applyFont="1" applyFill="1" applyBorder="1" applyAlignment="1" applyProtection="1">
      <alignment horizontal="right" vertical="center"/>
      <protection locked="0"/>
    </xf>
    <xf numFmtId="3" fontId="15" fillId="0" borderId="0" xfId="181" applyNumberFormat="1" applyFont="1" applyFill="1" applyBorder="1" applyAlignment="1" applyProtection="1">
      <alignment horizontal="right" vertical="center"/>
      <protection locked="0"/>
    </xf>
    <xf numFmtId="3" fontId="27" fillId="9" borderId="31" xfId="181" applyNumberFormat="1" applyFont="1" applyFill="1" applyBorder="1" applyAlignment="1" applyProtection="1">
      <alignment horizontal="right" vertical="center"/>
      <protection locked="0"/>
    </xf>
    <xf numFmtId="3" fontId="27" fillId="9" borderId="30" xfId="181" applyNumberFormat="1" applyFont="1" applyFill="1" applyBorder="1" applyAlignment="1" applyProtection="1">
      <alignment horizontal="right" vertical="center"/>
      <protection locked="0"/>
    </xf>
    <xf numFmtId="3" fontId="27" fillId="9" borderId="32" xfId="181" applyNumberFormat="1" applyFont="1" applyFill="1" applyBorder="1" applyAlignment="1" applyProtection="1">
      <alignment horizontal="right" vertical="center"/>
      <protection locked="0"/>
    </xf>
    <xf numFmtId="49" fontId="15" fillId="0" borderId="52" xfId="181" applyNumberFormat="1" applyFont="1" applyFill="1" applyBorder="1" applyAlignment="1" applyProtection="1">
      <alignment horizontal="center" vertical="center" wrapText="1"/>
      <protection locked="0"/>
    </xf>
    <xf numFmtId="3" fontId="27" fillId="0" borderId="50" xfId="181" applyNumberFormat="1" applyFont="1" applyFill="1" applyBorder="1" applyAlignment="1" applyProtection="1">
      <alignment horizontal="right" vertical="center"/>
      <protection locked="0"/>
    </xf>
    <xf numFmtId="3" fontId="27" fillId="0" borderId="51" xfId="181" applyNumberFormat="1" applyFont="1" applyFill="1" applyBorder="1" applyAlignment="1" applyProtection="1">
      <alignment horizontal="right" vertical="center"/>
      <protection locked="0"/>
    </xf>
    <xf numFmtId="3" fontId="27" fillId="0" borderId="61" xfId="181" applyNumberFormat="1" applyFont="1" applyFill="1" applyBorder="1" applyAlignment="1" applyProtection="1">
      <alignment horizontal="right" vertical="center"/>
      <protection locked="0"/>
    </xf>
    <xf numFmtId="49" fontId="15" fillId="16" borderId="371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372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373" xfId="181" applyNumberFormat="1" applyFont="1" applyFill="1" applyBorder="1" applyAlignment="1" applyProtection="1">
      <alignment horizontal="right" vertical="center"/>
      <protection locked="0"/>
    </xf>
    <xf numFmtId="49" fontId="15" fillId="0" borderId="371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374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49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375" xfId="181" applyNumberFormat="1" applyFont="1" applyFill="1" applyBorder="1" applyAlignment="1" applyProtection="1">
      <alignment horizontal="right" vertical="center"/>
      <protection locked="0"/>
    </xf>
    <xf numFmtId="3" fontId="15" fillId="0" borderId="376" xfId="181" applyNumberFormat="1" applyFont="1" applyFill="1" applyBorder="1" applyAlignment="1" applyProtection="1">
      <alignment horizontal="right" vertical="center"/>
      <protection locked="0"/>
    </xf>
    <xf numFmtId="3" fontId="15" fillId="0" borderId="377" xfId="181" applyNumberFormat="1" applyFont="1" applyFill="1" applyBorder="1" applyAlignment="1" applyProtection="1">
      <alignment horizontal="right" vertical="center"/>
      <protection locked="0"/>
    </xf>
    <xf numFmtId="49" fontId="15" fillId="16" borderId="378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379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380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364" xfId="181" applyNumberFormat="1" applyFont="1" applyFill="1" applyBorder="1" applyAlignment="1" applyProtection="1">
      <alignment horizontal="right" vertical="center"/>
      <protection locked="0"/>
    </xf>
    <xf numFmtId="3" fontId="27" fillId="0" borderId="381" xfId="181" applyNumberFormat="1" applyFont="1" applyFill="1" applyBorder="1" applyAlignment="1" applyProtection="1">
      <alignment horizontal="right" vertical="center"/>
      <protection locked="0"/>
    </xf>
    <xf numFmtId="3" fontId="27" fillId="0" borderId="376" xfId="181" applyNumberFormat="1" applyFont="1" applyFill="1" applyBorder="1" applyAlignment="1" applyProtection="1">
      <alignment horizontal="right" vertical="center"/>
      <protection locked="0"/>
    </xf>
    <xf numFmtId="3" fontId="27" fillId="0" borderId="377" xfId="181" applyNumberFormat="1" applyFont="1" applyFill="1" applyBorder="1" applyAlignment="1" applyProtection="1">
      <alignment horizontal="right" vertical="center"/>
      <protection locked="0"/>
    </xf>
    <xf numFmtId="3" fontId="15" fillId="0" borderId="381" xfId="181" applyNumberFormat="1" applyFont="1" applyFill="1" applyBorder="1" applyAlignment="1" applyProtection="1">
      <alignment horizontal="right" vertical="center"/>
      <protection locked="0"/>
    </xf>
    <xf numFmtId="49" fontId="15" fillId="16" borderId="383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384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385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386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387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137" xfId="181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181" applyNumberFormat="1" applyFont="1" applyFill="1" applyBorder="1" applyAlignment="1" applyProtection="1">
      <alignment horizontal="left" vertical="center" wrapText="1"/>
      <protection locked="0"/>
    </xf>
    <xf numFmtId="49" fontId="47" fillId="19" borderId="131" xfId="181" applyNumberFormat="1" applyFont="1" applyFill="1" applyBorder="1" applyAlignment="1" applyProtection="1">
      <alignment horizontal="center" vertical="center" wrapText="1"/>
      <protection locked="0"/>
    </xf>
    <xf numFmtId="49" fontId="47" fillId="19" borderId="388" xfId="181" applyNumberFormat="1" applyFont="1" applyFill="1" applyBorder="1" applyAlignment="1" applyProtection="1">
      <alignment horizontal="center" vertical="center" wrapText="1"/>
      <protection locked="0"/>
    </xf>
    <xf numFmtId="49" fontId="47" fillId="19" borderId="389" xfId="181" applyNumberFormat="1" applyFont="1" applyFill="1" applyBorder="1" applyAlignment="1" applyProtection="1">
      <alignment horizontal="left" vertical="center" wrapText="1"/>
      <protection locked="0"/>
    </xf>
    <xf numFmtId="49" fontId="47" fillId="21" borderId="52" xfId="181" applyNumberFormat="1" applyFont="1" applyFill="1" applyBorder="1" applyAlignment="1" applyProtection="1">
      <alignment horizontal="center" vertical="center" wrapText="1"/>
      <protection locked="0"/>
    </xf>
    <xf numFmtId="49" fontId="47" fillId="21" borderId="34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24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25" xfId="181" applyNumberFormat="1" applyFont="1" applyFill="1" applyBorder="1" applyAlignment="1" applyProtection="1">
      <alignment horizontal="left" vertical="center" wrapText="1"/>
      <protection locked="0"/>
    </xf>
    <xf numFmtId="3" fontId="27" fillId="0" borderId="31" xfId="181" applyNumberFormat="1" applyFont="1" applyFill="1" applyBorder="1" applyAlignment="1" applyProtection="1">
      <alignment horizontal="right" vertical="center"/>
      <protection locked="0"/>
    </xf>
    <xf numFmtId="3" fontId="27" fillId="0" borderId="30" xfId="181" applyNumberFormat="1" applyFont="1" applyFill="1" applyBorder="1" applyAlignment="1" applyProtection="1">
      <alignment horizontal="right" vertical="center"/>
      <protection locked="0"/>
    </xf>
    <xf numFmtId="3" fontId="27" fillId="0" borderId="32" xfId="181" applyNumberFormat="1" applyFont="1" applyFill="1" applyBorder="1" applyAlignment="1" applyProtection="1">
      <alignment horizontal="right" vertical="center"/>
      <protection locked="0"/>
    </xf>
    <xf numFmtId="3" fontId="15" fillId="0" borderId="380" xfId="181" applyNumberFormat="1" applyFont="1" applyFill="1" applyBorder="1" applyAlignment="1" applyProtection="1">
      <alignment horizontal="right" vertical="center"/>
      <protection locked="0"/>
    </xf>
    <xf numFmtId="49" fontId="15" fillId="16" borderId="391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392" xfId="181" applyNumberFormat="1" applyFont="1" applyFill="1" applyBorder="1" applyAlignment="1" applyProtection="1">
      <alignment horizontal="right" vertical="center"/>
      <protection locked="0"/>
    </xf>
    <xf numFmtId="3" fontId="15" fillId="0" borderId="393" xfId="181" applyNumberFormat="1" applyFont="1" applyFill="1" applyBorder="1" applyAlignment="1" applyProtection="1">
      <alignment horizontal="right" vertical="center"/>
      <protection locked="0"/>
    </xf>
    <xf numFmtId="3" fontId="15" fillId="0" borderId="394" xfId="181" applyNumberFormat="1" applyFont="1" applyFill="1" applyBorder="1" applyAlignment="1" applyProtection="1">
      <alignment horizontal="right" vertical="center"/>
      <protection locked="0"/>
    </xf>
    <xf numFmtId="10" fontId="15" fillId="0" borderId="393" xfId="177" applyNumberFormat="1" applyFont="1" applyFill="1" applyBorder="1" applyAlignment="1" applyProtection="1">
      <alignment horizontal="right" vertical="center"/>
      <protection locked="0"/>
    </xf>
    <xf numFmtId="49" fontId="15" fillId="16" borderId="145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395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396" xfId="181" applyNumberFormat="1" applyFont="1" applyFill="1" applyBorder="1" applyAlignment="1" applyProtection="1">
      <alignment horizontal="right" vertical="center"/>
      <protection locked="0"/>
    </xf>
    <xf numFmtId="3" fontId="27" fillId="0" borderId="349" xfId="181" applyNumberFormat="1" applyFont="1" applyFill="1" applyBorder="1" applyAlignment="1" applyProtection="1">
      <alignment horizontal="right" vertical="center"/>
      <protection locked="0"/>
    </xf>
    <xf numFmtId="3" fontId="15" fillId="0" borderId="398" xfId="181" applyNumberFormat="1" applyFont="1" applyFill="1" applyBorder="1" applyAlignment="1" applyProtection="1">
      <alignment horizontal="right" vertical="center"/>
      <protection locked="0"/>
    </xf>
    <xf numFmtId="3" fontId="15" fillId="0" borderId="399" xfId="181" applyNumberFormat="1" applyFont="1" applyFill="1" applyBorder="1" applyAlignment="1" applyProtection="1">
      <alignment horizontal="right" vertical="center"/>
      <protection locked="0"/>
    </xf>
    <xf numFmtId="3" fontId="48" fillId="0" borderId="398" xfId="181" applyNumberFormat="1" applyFont="1" applyFill="1" applyBorder="1" applyAlignment="1" applyProtection="1">
      <alignment horizontal="right" vertical="center"/>
      <protection locked="0"/>
    </xf>
    <xf numFmtId="3" fontId="48" fillId="0" borderId="393" xfId="181" applyNumberFormat="1" applyFont="1" applyFill="1" applyBorder="1" applyAlignment="1" applyProtection="1">
      <alignment horizontal="right" vertical="center"/>
      <protection locked="0"/>
    </xf>
    <xf numFmtId="3" fontId="48" fillId="0" borderId="399" xfId="181" applyNumberFormat="1" applyFont="1" applyFill="1" applyBorder="1" applyAlignment="1" applyProtection="1">
      <alignment horizontal="right" vertical="center"/>
      <protection locked="0"/>
    </xf>
    <xf numFmtId="10" fontId="48" fillId="0" borderId="393" xfId="177" applyNumberFormat="1" applyFont="1" applyFill="1" applyBorder="1" applyAlignment="1" applyProtection="1">
      <alignment horizontal="right" vertical="center"/>
      <protection locked="0"/>
    </xf>
    <xf numFmtId="49" fontId="15" fillId="16" borderId="400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401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402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403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397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404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405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406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407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408" xfId="181" applyNumberFormat="1" applyFont="1" applyFill="1" applyBorder="1" applyAlignment="1" applyProtection="1">
      <alignment horizontal="right" vertical="center"/>
      <protection locked="0"/>
    </xf>
    <xf numFmtId="49" fontId="15" fillId="16" borderId="409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410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411" xfId="181" applyNumberFormat="1" applyFont="1" applyFill="1" applyBorder="1" applyAlignment="1" applyProtection="1">
      <alignment horizontal="right" vertical="center"/>
      <protection locked="0"/>
    </xf>
    <xf numFmtId="49" fontId="15" fillId="16" borderId="412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413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414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415" xfId="181" applyNumberFormat="1" applyFont="1" applyFill="1" applyBorder="1" applyAlignment="1" applyProtection="1">
      <alignment vertical="center" wrapText="1"/>
      <protection locked="0"/>
    </xf>
    <xf numFmtId="49" fontId="15" fillId="16" borderId="416" xfId="181" applyNumberFormat="1" applyFont="1" applyFill="1" applyBorder="1" applyAlignment="1" applyProtection="1">
      <alignment vertical="center" wrapText="1"/>
      <protection locked="0"/>
    </xf>
    <xf numFmtId="3" fontId="15" fillId="0" borderId="418" xfId="181" applyNumberFormat="1" applyFont="1" applyFill="1" applyBorder="1" applyAlignment="1" applyProtection="1">
      <alignment horizontal="right" vertical="center"/>
      <protection locked="0"/>
    </xf>
    <xf numFmtId="49" fontId="15" fillId="16" borderId="419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420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421" xfId="181" applyNumberFormat="1" applyFont="1" applyFill="1" applyBorder="1" applyAlignment="1" applyProtection="1">
      <alignment horizontal="right" vertical="center"/>
      <protection locked="0"/>
    </xf>
    <xf numFmtId="3" fontId="27" fillId="0" borderId="425" xfId="181" applyNumberFormat="1" applyFont="1" applyFill="1" applyBorder="1" applyAlignment="1" applyProtection="1">
      <alignment horizontal="right" vertical="center"/>
      <protection locked="0"/>
    </xf>
    <xf numFmtId="49" fontId="15" fillId="16" borderId="426" xfId="181" applyNumberFormat="1" applyFont="1" applyFill="1" applyBorder="1" applyAlignment="1" applyProtection="1">
      <alignment horizontal="left" vertical="center" wrapText="1"/>
      <protection locked="0"/>
    </xf>
    <xf numFmtId="10" fontId="15" fillId="0" borderId="376" xfId="177" applyNumberFormat="1" applyFont="1" applyFill="1" applyBorder="1" applyAlignment="1" applyProtection="1">
      <alignment horizontal="right" vertical="center"/>
      <protection locked="0"/>
    </xf>
    <xf numFmtId="49" fontId="47" fillId="20" borderId="128" xfId="181" applyNumberFormat="1" applyFont="1" applyFill="1" applyBorder="1" applyAlignment="1" applyProtection="1">
      <alignment horizontal="center" vertical="center" wrapText="1"/>
      <protection locked="0"/>
    </xf>
    <xf numFmtId="0" fontId="15" fillId="20" borderId="427" xfId="181" applyNumberFormat="1" applyFont="1" applyFill="1" applyBorder="1" applyAlignment="1" applyProtection="1">
      <alignment horizontal="left" vertical="center"/>
      <protection locked="0"/>
    </xf>
    <xf numFmtId="49" fontId="47" fillId="20" borderId="132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431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432" xfId="181" applyNumberFormat="1" applyFont="1" applyFill="1" applyBorder="1" applyAlignment="1" applyProtection="1">
      <alignment horizontal="left" vertical="center" wrapText="1"/>
      <protection locked="0"/>
    </xf>
    <xf numFmtId="49" fontId="47" fillId="19" borderId="395" xfId="181" applyNumberFormat="1" applyFont="1" applyFill="1" applyBorder="1" applyAlignment="1" applyProtection="1">
      <alignment horizontal="left" vertical="center" wrapText="1"/>
      <protection locked="0"/>
    </xf>
    <xf numFmtId="3" fontId="27" fillId="0" borderId="356" xfId="181" applyNumberFormat="1" applyFont="1" applyFill="1" applyBorder="1" applyAlignment="1" applyProtection="1">
      <alignment horizontal="right" vertical="center"/>
      <protection locked="0"/>
    </xf>
    <xf numFmtId="3" fontId="48" fillId="0" borderId="411" xfId="181" applyNumberFormat="1" applyFont="1" applyFill="1" applyBorder="1" applyAlignment="1" applyProtection="1">
      <alignment horizontal="right" vertical="center"/>
      <protection locked="0"/>
    </xf>
    <xf numFmtId="3" fontId="48" fillId="0" borderId="418" xfId="181" applyNumberFormat="1" applyFont="1" applyFill="1" applyBorder="1" applyAlignment="1" applyProtection="1">
      <alignment horizontal="right" vertical="center"/>
      <protection locked="0"/>
    </xf>
    <xf numFmtId="49" fontId="15" fillId="16" borderId="434" xfId="181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181" applyNumberFormat="1" applyFont="1" applyFill="1" applyBorder="1" applyAlignment="1" applyProtection="1">
      <alignment horizontal="left" vertical="center"/>
      <protection locked="0"/>
    </xf>
    <xf numFmtId="49" fontId="15" fillId="16" borderId="435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356" xfId="181" applyNumberFormat="1" applyFont="1" applyFill="1" applyBorder="1" applyAlignment="1" applyProtection="1">
      <alignment vertical="center" wrapText="1"/>
      <protection locked="0"/>
    </xf>
    <xf numFmtId="49" fontId="15" fillId="16" borderId="21" xfId="181" applyNumberFormat="1" applyFont="1" applyFill="1" applyBorder="1" applyAlignment="1" applyProtection="1">
      <alignment vertical="center" wrapText="1"/>
      <protection locked="0"/>
    </xf>
    <xf numFmtId="3" fontId="48" fillId="0" borderId="356" xfId="181" applyNumberFormat="1" applyFont="1" applyFill="1" applyBorder="1" applyAlignment="1" applyProtection="1">
      <alignment horizontal="right" vertical="center"/>
      <protection locked="0"/>
    </xf>
    <xf numFmtId="3" fontId="48" fillId="0" borderId="436" xfId="181" applyNumberFormat="1" applyFont="1" applyFill="1" applyBorder="1" applyAlignment="1" applyProtection="1">
      <alignment horizontal="right" vertical="center"/>
      <protection locked="0"/>
    </xf>
    <xf numFmtId="49" fontId="15" fillId="16" borderId="438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439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0" xfId="181" applyNumberFormat="1" applyFont="1" applyFill="1" applyBorder="1" applyAlignment="1" applyProtection="1">
      <alignment horizontal="center" vertical="center" wrapText="1"/>
      <protection locked="0"/>
    </xf>
    <xf numFmtId="3" fontId="15" fillId="0" borderId="369" xfId="181" applyNumberFormat="1" applyFont="1" applyFill="1" applyBorder="1" applyAlignment="1" applyProtection="1">
      <alignment horizontal="right" vertical="center"/>
      <protection locked="0"/>
    </xf>
    <xf numFmtId="3" fontId="15" fillId="0" borderId="440" xfId="181" applyNumberFormat="1" applyFont="1" applyFill="1" applyBorder="1" applyAlignment="1" applyProtection="1">
      <alignment horizontal="right" vertical="center"/>
      <protection locked="0"/>
    </xf>
    <xf numFmtId="3" fontId="15" fillId="0" borderId="370" xfId="181" applyNumberFormat="1" applyFont="1" applyFill="1" applyBorder="1" applyAlignment="1" applyProtection="1">
      <alignment horizontal="right" vertical="center"/>
      <protection locked="0"/>
    </xf>
    <xf numFmtId="49" fontId="15" fillId="16" borderId="441" xfId="181" applyNumberFormat="1" applyFont="1" applyFill="1" applyBorder="1" applyAlignment="1" applyProtection="1">
      <alignment horizontal="center" vertical="center" wrapText="1"/>
      <protection locked="0"/>
    </xf>
    <xf numFmtId="3" fontId="15" fillId="0" borderId="442" xfId="181" applyNumberFormat="1" applyFont="1" applyFill="1" applyBorder="1" applyAlignment="1" applyProtection="1">
      <alignment horizontal="right" vertical="center"/>
      <protection locked="0"/>
    </xf>
    <xf numFmtId="2" fontId="15" fillId="0" borderId="443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444" xfId="181" applyNumberFormat="1" applyFont="1" applyFill="1" applyBorder="1" applyAlignment="1" applyProtection="1">
      <alignment horizontal="right" vertical="center"/>
      <protection locked="0"/>
    </xf>
    <xf numFmtId="3" fontId="15" fillId="0" borderId="445" xfId="181" applyNumberFormat="1" applyFont="1" applyFill="1" applyBorder="1" applyAlignment="1" applyProtection="1">
      <alignment horizontal="right" vertical="center"/>
      <protection locked="0"/>
    </xf>
    <xf numFmtId="2" fontId="15" fillId="0" borderId="394" xfId="181" applyNumberFormat="1" applyFont="1" applyFill="1" applyBorder="1" applyAlignment="1" applyProtection="1">
      <alignment horizontal="left" vertical="center" wrapText="1"/>
      <protection locked="0"/>
    </xf>
    <xf numFmtId="2" fontId="15" fillId="0" borderId="0" xfId="181" applyNumberFormat="1" applyFont="1" applyFill="1" applyBorder="1" applyAlignment="1" applyProtection="1">
      <alignment horizontal="left" vertical="center" wrapText="1"/>
      <protection locked="0"/>
    </xf>
    <xf numFmtId="3" fontId="27" fillId="0" borderId="411" xfId="181" applyNumberFormat="1" applyFont="1" applyFill="1" applyBorder="1" applyAlignment="1" applyProtection="1">
      <alignment horizontal="right" vertical="center"/>
      <protection locked="0"/>
    </xf>
    <xf numFmtId="49" fontId="47" fillId="19" borderId="168" xfId="181" applyNumberFormat="1" applyFont="1" applyFill="1" applyBorder="1" applyAlignment="1" applyProtection="1">
      <alignment horizontal="center" vertical="center" wrapText="1"/>
      <protection locked="0"/>
    </xf>
    <xf numFmtId="3" fontId="27" fillId="0" borderId="449" xfId="181" applyNumberFormat="1" applyFont="1" applyFill="1" applyBorder="1" applyAlignment="1" applyProtection="1">
      <alignment horizontal="right" vertical="center"/>
      <protection locked="0"/>
    </xf>
    <xf numFmtId="3" fontId="15" fillId="0" borderId="449" xfId="181" applyNumberFormat="1" applyFont="1" applyFill="1" applyBorder="1" applyAlignment="1" applyProtection="1">
      <alignment horizontal="right" vertical="center"/>
      <protection locked="0"/>
    </xf>
    <xf numFmtId="3" fontId="15" fillId="0" borderId="450" xfId="181" applyNumberFormat="1" applyFont="1" applyFill="1" applyBorder="1" applyAlignment="1" applyProtection="1">
      <alignment horizontal="right" vertical="center"/>
      <protection locked="0"/>
    </xf>
    <xf numFmtId="49" fontId="47" fillId="19" borderId="54" xfId="181" applyNumberFormat="1" applyFont="1" applyFill="1" applyBorder="1" applyAlignment="1" applyProtection="1">
      <alignment horizontal="center" vertical="center" wrapText="1"/>
      <protection locked="0"/>
    </xf>
    <xf numFmtId="49" fontId="47" fillId="19" borderId="451" xfId="181" applyNumberFormat="1" applyFont="1" applyFill="1" applyBorder="1" applyAlignment="1" applyProtection="1">
      <alignment horizontal="center" vertical="center" wrapText="1"/>
      <protection locked="0"/>
    </xf>
    <xf numFmtId="49" fontId="47" fillId="19" borderId="452" xfId="181" applyNumberFormat="1" applyFont="1" applyFill="1" applyBorder="1" applyAlignment="1" applyProtection="1">
      <alignment horizontal="left" vertical="center" wrapText="1"/>
      <protection locked="0"/>
    </xf>
    <xf numFmtId="3" fontId="27" fillId="0" borderId="454" xfId="181" applyNumberFormat="1" applyFont="1" applyFill="1" applyBorder="1" applyAlignment="1" applyProtection="1">
      <alignment horizontal="right" vertical="center"/>
      <protection locked="0"/>
    </xf>
    <xf numFmtId="49" fontId="15" fillId="16" borderId="456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457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423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458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461" xfId="181" applyNumberFormat="1" applyFont="1" applyFill="1" applyBorder="1" applyAlignment="1" applyProtection="1">
      <alignment horizontal="right" vertical="center"/>
      <protection locked="0"/>
    </xf>
    <xf numFmtId="3" fontId="15" fillId="0" borderId="462" xfId="181" applyNumberFormat="1" applyFont="1" applyFill="1" applyBorder="1" applyAlignment="1" applyProtection="1">
      <alignment horizontal="right" vertical="center"/>
      <protection locked="0"/>
    </xf>
    <xf numFmtId="49" fontId="15" fillId="16" borderId="463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433" xfId="181" applyNumberFormat="1" applyFont="1" applyFill="1" applyBorder="1" applyAlignment="1" applyProtection="1">
      <alignment horizontal="left" vertical="center" wrapText="1"/>
      <protection locked="0"/>
    </xf>
    <xf numFmtId="3" fontId="27" fillId="0" borderId="461" xfId="181" applyNumberFormat="1" applyFont="1" applyFill="1" applyBorder="1" applyAlignment="1" applyProtection="1">
      <alignment horizontal="right" vertical="center"/>
      <protection locked="0"/>
    </xf>
    <xf numFmtId="10" fontId="27" fillId="0" borderId="393" xfId="177" applyNumberFormat="1" applyFont="1" applyFill="1" applyBorder="1" applyAlignment="1" applyProtection="1">
      <alignment horizontal="right" vertical="center"/>
      <protection locked="0"/>
    </xf>
    <xf numFmtId="49" fontId="15" fillId="16" borderId="464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465" xfId="181" applyNumberFormat="1" applyFont="1" applyFill="1" applyBorder="1" applyAlignment="1" applyProtection="1">
      <alignment horizontal="left" vertical="center" wrapText="1"/>
      <protection locked="0"/>
    </xf>
    <xf numFmtId="2" fontId="15" fillId="0" borderId="21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466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467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468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424" xfId="181" applyNumberFormat="1" applyFont="1" applyFill="1" applyBorder="1" applyAlignment="1" applyProtection="1">
      <alignment horizontal="left" vertical="center" wrapText="1"/>
      <protection locked="0"/>
    </xf>
    <xf numFmtId="3" fontId="48" fillId="0" borderId="369" xfId="181" applyNumberFormat="1" applyFont="1" applyFill="1" applyBorder="1" applyAlignment="1" applyProtection="1">
      <alignment horizontal="right" vertical="center"/>
      <protection locked="0"/>
    </xf>
    <xf numFmtId="3" fontId="48" fillId="0" borderId="440" xfId="181" applyNumberFormat="1" applyFont="1" applyFill="1" applyBorder="1" applyAlignment="1" applyProtection="1">
      <alignment horizontal="right" vertical="center"/>
      <protection locked="0"/>
    </xf>
    <xf numFmtId="3" fontId="48" fillId="0" borderId="370" xfId="181" applyNumberFormat="1" applyFont="1" applyFill="1" applyBorder="1" applyAlignment="1" applyProtection="1">
      <alignment horizontal="right" vertical="center"/>
      <protection locked="0"/>
    </xf>
    <xf numFmtId="10" fontId="47" fillId="0" borderId="469" xfId="177" applyNumberFormat="1" applyFont="1" applyFill="1" applyBorder="1" applyAlignment="1" applyProtection="1">
      <alignment horizontal="right" vertical="center"/>
      <protection locked="0"/>
    </xf>
    <xf numFmtId="49" fontId="15" fillId="16" borderId="470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423" xfId="181" applyNumberFormat="1" applyFont="1" applyFill="1" applyBorder="1" applyAlignment="1" applyProtection="1">
      <alignment horizontal="right" vertical="center"/>
      <protection locked="0"/>
    </xf>
    <xf numFmtId="49" fontId="15" fillId="16" borderId="471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158" xfId="181" applyNumberFormat="1" applyFont="1" applyFill="1" applyBorder="1" applyAlignment="1" applyProtection="1">
      <alignment horizontal="center" vertical="center" wrapText="1"/>
      <protection locked="0"/>
    </xf>
    <xf numFmtId="2" fontId="53" fillId="0" borderId="29" xfId="181" applyNumberFormat="1" applyFont="1" applyFill="1" applyBorder="1" applyAlignment="1" applyProtection="1">
      <alignment horizontal="left" vertical="center" wrapText="1"/>
      <protection locked="0"/>
    </xf>
    <xf numFmtId="3" fontId="53" fillId="0" borderId="459" xfId="181" applyNumberFormat="1" applyFont="1" applyFill="1" applyBorder="1" applyAlignment="1" applyProtection="1">
      <alignment horizontal="right" vertical="center"/>
      <protection locked="0"/>
    </xf>
    <xf numFmtId="3" fontId="53" fillId="0" borderId="472" xfId="181" applyNumberFormat="1" applyFont="1" applyFill="1" applyBorder="1" applyAlignment="1" applyProtection="1">
      <alignment horizontal="right" vertical="center"/>
      <protection locked="0"/>
    </xf>
    <xf numFmtId="49" fontId="27" fillId="21" borderId="52" xfId="181" applyNumberFormat="1" applyFont="1" applyFill="1" applyBorder="1" applyAlignment="1" applyProtection="1">
      <alignment horizontal="center" vertical="center" wrapText="1"/>
      <protection locked="0"/>
    </xf>
    <xf numFmtId="3" fontId="47" fillId="20" borderId="473" xfId="181" applyNumberFormat="1" applyFont="1" applyFill="1" applyBorder="1" applyAlignment="1" applyProtection="1">
      <alignment horizontal="right" vertical="center"/>
      <protection locked="0"/>
    </xf>
    <xf numFmtId="49" fontId="27" fillId="0" borderId="30" xfId="181" applyNumberFormat="1" applyFont="1" applyFill="1" applyBorder="1" applyAlignment="1" applyProtection="1">
      <alignment horizontal="center" vertical="center" wrapText="1"/>
      <protection locked="0"/>
    </xf>
    <xf numFmtId="3" fontId="27" fillId="2" borderId="31" xfId="181" applyNumberFormat="1" applyFont="1" applyFill="1" applyBorder="1" applyAlignment="1" applyProtection="1">
      <alignment horizontal="right" vertical="center"/>
      <protection locked="0"/>
    </xf>
    <xf numFmtId="3" fontId="27" fillId="2" borderId="30" xfId="181" applyNumberFormat="1" applyFont="1" applyFill="1" applyBorder="1" applyAlignment="1" applyProtection="1">
      <alignment horizontal="right" vertical="center"/>
      <protection locked="0"/>
    </xf>
    <xf numFmtId="3" fontId="27" fillId="2" borderId="56" xfId="181" applyNumberFormat="1" applyFont="1" applyFill="1" applyBorder="1" applyAlignment="1" applyProtection="1">
      <alignment horizontal="right" vertical="center"/>
      <protection locked="0"/>
    </xf>
    <xf numFmtId="49" fontId="27" fillId="0" borderId="39" xfId="181" applyNumberFormat="1" applyFont="1" applyFill="1" applyBorder="1" applyAlignment="1" applyProtection="1">
      <alignment horizontal="center" vertical="center" wrapText="1"/>
      <protection locked="0"/>
    </xf>
    <xf numFmtId="3" fontId="15" fillId="2" borderId="381" xfId="181" applyNumberFormat="1" applyFont="1" applyFill="1" applyBorder="1" applyAlignment="1" applyProtection="1">
      <alignment horizontal="right" vertical="center"/>
      <protection locked="0"/>
    </xf>
    <xf numFmtId="3" fontId="15" fillId="2" borderId="376" xfId="181" applyNumberFormat="1" applyFont="1" applyFill="1" applyBorder="1" applyAlignment="1" applyProtection="1">
      <alignment horizontal="right" vertical="center"/>
      <protection locked="0"/>
    </xf>
    <xf numFmtId="3" fontId="15" fillId="2" borderId="450" xfId="181" applyNumberFormat="1" applyFont="1" applyFill="1" applyBorder="1" applyAlignment="1" applyProtection="1">
      <alignment horizontal="right" vertical="center"/>
      <protection locked="0"/>
    </xf>
    <xf numFmtId="49" fontId="15" fillId="0" borderId="474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475" xfId="181" applyNumberFormat="1" applyFont="1" applyFill="1" applyBorder="1" applyAlignment="1" applyProtection="1">
      <alignment horizontal="left" vertical="center" wrapText="1"/>
      <protection locked="0"/>
    </xf>
    <xf numFmtId="10" fontId="27" fillId="0" borderId="376" xfId="177" applyNumberFormat="1" applyFont="1" applyFill="1" applyBorder="1" applyAlignment="1" applyProtection="1">
      <alignment horizontal="right" vertical="center"/>
      <protection locked="0"/>
    </xf>
    <xf numFmtId="49" fontId="27" fillId="21" borderId="31" xfId="181" applyNumberFormat="1" applyFont="1" applyFill="1" applyBorder="1" applyAlignment="1" applyProtection="1">
      <alignment horizontal="center" vertical="center" wrapText="1"/>
      <protection locked="0"/>
    </xf>
    <xf numFmtId="49" fontId="47" fillId="19" borderId="30" xfId="181" applyNumberFormat="1" applyFont="1" applyFill="1" applyBorder="1" applyAlignment="1" applyProtection="1">
      <alignment horizontal="center" vertical="center" wrapText="1"/>
      <protection locked="0"/>
    </xf>
    <xf numFmtId="49" fontId="47" fillId="19" borderId="68" xfId="181" applyNumberFormat="1" applyFont="1" applyFill="1" applyBorder="1" applyAlignment="1" applyProtection="1">
      <alignment horizontal="center" vertical="center" wrapText="1"/>
      <protection locked="0"/>
    </xf>
    <xf numFmtId="49" fontId="47" fillId="19" borderId="69" xfId="181" applyNumberFormat="1" applyFont="1" applyFill="1" applyBorder="1" applyAlignment="1" applyProtection="1">
      <alignment horizontal="left" vertical="center" wrapText="1"/>
      <protection locked="0"/>
    </xf>
    <xf numFmtId="3" fontId="47" fillId="20" borderId="31" xfId="181" applyNumberFormat="1" applyFont="1" applyFill="1" applyBorder="1" applyAlignment="1" applyProtection="1">
      <alignment horizontal="right" vertical="center"/>
      <protection locked="0"/>
    </xf>
    <xf numFmtId="3" fontId="47" fillId="20" borderId="30" xfId="181" applyNumberFormat="1" applyFont="1" applyFill="1" applyBorder="1" applyAlignment="1" applyProtection="1">
      <alignment horizontal="right" vertical="center"/>
      <protection locked="0"/>
    </xf>
    <xf numFmtId="3" fontId="47" fillId="20" borderId="32" xfId="181" applyNumberFormat="1" applyFont="1" applyFill="1" applyBorder="1" applyAlignment="1" applyProtection="1">
      <alignment horizontal="right" vertical="center"/>
      <protection locked="0"/>
    </xf>
    <xf numFmtId="10" fontId="27" fillId="20" borderId="30" xfId="177" applyNumberFormat="1" applyFont="1" applyFill="1" applyBorder="1" applyAlignment="1" applyProtection="1">
      <alignment horizontal="right" vertical="center"/>
      <protection locked="0"/>
    </xf>
    <xf numFmtId="49" fontId="27" fillId="21" borderId="39" xfId="181" applyNumberFormat="1" applyFont="1" applyFill="1" applyBorder="1" applyAlignment="1" applyProtection="1">
      <alignment horizontal="center" vertical="center" wrapText="1"/>
      <protection locked="0"/>
    </xf>
    <xf numFmtId="10" fontId="15" fillId="0" borderId="469" xfId="177" applyNumberFormat="1" applyFont="1" applyFill="1" applyBorder="1" applyAlignment="1" applyProtection="1">
      <alignment horizontal="right" vertical="center"/>
      <protection locked="0"/>
    </xf>
    <xf numFmtId="3" fontId="48" fillId="0" borderId="461" xfId="181" applyNumberFormat="1" applyFont="1" applyFill="1" applyBorder="1" applyAlignment="1" applyProtection="1">
      <alignment horizontal="right" vertical="center"/>
      <protection locked="0"/>
    </xf>
    <xf numFmtId="3" fontId="48" fillId="0" borderId="462" xfId="181" applyNumberFormat="1" applyFont="1" applyFill="1" applyBorder="1" applyAlignment="1" applyProtection="1">
      <alignment horizontal="right" vertical="center"/>
      <protection locked="0"/>
    </xf>
    <xf numFmtId="10" fontId="48" fillId="0" borderId="469" xfId="177" applyNumberFormat="1" applyFont="1" applyFill="1" applyBorder="1" applyAlignment="1" applyProtection="1">
      <alignment horizontal="right" vertical="center"/>
      <protection locked="0"/>
    </xf>
    <xf numFmtId="49" fontId="15" fillId="16" borderId="476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49" xfId="181" applyNumberFormat="1" applyFont="1" applyFill="1" applyBorder="1" applyAlignment="1" applyProtection="1">
      <alignment horizontal="right" vertical="center"/>
      <protection locked="0"/>
    </xf>
    <xf numFmtId="49" fontId="15" fillId="0" borderId="477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452" xfId="181" applyNumberFormat="1" applyFont="1" applyFill="1" applyBorder="1" applyAlignment="1" applyProtection="1">
      <alignment horizontal="left" vertical="center" wrapText="1"/>
      <protection locked="0"/>
    </xf>
    <xf numFmtId="3" fontId="15" fillId="2" borderId="392" xfId="181" applyNumberFormat="1" applyFont="1" applyFill="1" applyBorder="1" applyAlignment="1" applyProtection="1">
      <alignment horizontal="right" vertical="center"/>
      <protection locked="0"/>
    </xf>
    <xf numFmtId="49" fontId="53" fillId="21" borderId="52" xfId="181" applyNumberFormat="1" applyFont="1" applyFill="1" applyBorder="1" applyAlignment="1" applyProtection="1">
      <alignment horizontal="center" vertical="center" wrapText="1"/>
      <protection locked="0"/>
    </xf>
    <xf numFmtId="3" fontId="27" fillId="0" borderId="479" xfId="181" applyNumberFormat="1" applyFont="1" applyFill="1" applyBorder="1" applyAlignment="1" applyProtection="1">
      <alignment horizontal="right" vertical="center"/>
      <protection locked="0"/>
    </xf>
    <xf numFmtId="3" fontId="27" fillId="0" borderId="480" xfId="181" applyNumberFormat="1" applyFont="1" applyFill="1" applyBorder="1" applyAlignment="1" applyProtection="1">
      <alignment horizontal="right" vertical="center"/>
      <protection locked="0"/>
    </xf>
    <xf numFmtId="3" fontId="15" fillId="0" borderId="479" xfId="181" applyNumberFormat="1" applyFont="1" applyFill="1" applyBorder="1" applyAlignment="1" applyProtection="1">
      <alignment horizontal="right" vertical="center"/>
      <protection locked="0"/>
    </xf>
    <xf numFmtId="3" fontId="15" fillId="0" borderId="480" xfId="181" applyNumberFormat="1" applyFont="1" applyFill="1" applyBorder="1" applyAlignment="1" applyProtection="1">
      <alignment horizontal="right" vertical="center"/>
      <protection locked="0"/>
    </xf>
    <xf numFmtId="3" fontId="48" fillId="0" borderId="479" xfId="181" applyNumberFormat="1" applyFont="1" applyFill="1" applyBorder="1" applyAlignment="1" applyProtection="1">
      <alignment horizontal="right" vertical="center"/>
      <protection locked="0"/>
    </xf>
    <xf numFmtId="3" fontId="48" fillId="0" borderId="480" xfId="181" applyNumberFormat="1" applyFont="1" applyFill="1" applyBorder="1" applyAlignment="1" applyProtection="1">
      <alignment horizontal="right" vertical="center"/>
      <protection locked="0"/>
    </xf>
    <xf numFmtId="49" fontId="27" fillId="0" borderId="478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481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482" xfId="181" applyNumberFormat="1" applyFont="1" applyFill="1" applyBorder="1" applyAlignment="1" applyProtection="1">
      <alignment horizontal="right" vertical="center"/>
      <protection locked="0"/>
    </xf>
    <xf numFmtId="49" fontId="15" fillId="16" borderId="483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478" xfId="181" applyNumberFormat="1" applyFont="1" applyFill="1" applyBorder="1" applyAlignment="1" applyProtection="1">
      <alignment horizontal="left" vertical="center" wrapText="1"/>
      <protection locked="0"/>
    </xf>
    <xf numFmtId="49" fontId="27" fillId="0" borderId="481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463" xfId="181" applyNumberFormat="1" applyFont="1" applyFill="1" applyBorder="1" applyAlignment="1" applyProtection="1">
      <alignment horizontal="center" vertical="center" wrapText="1"/>
      <protection locked="0"/>
    </xf>
    <xf numFmtId="49" fontId="15" fillId="0" borderId="433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434" xfId="181" applyNumberFormat="1" applyFont="1" applyFill="1" applyBorder="1" applyAlignment="1" applyProtection="1">
      <alignment horizontal="center" vertical="center" wrapText="1"/>
      <protection locked="0"/>
    </xf>
    <xf numFmtId="49" fontId="53" fillId="0" borderId="33" xfId="181" applyNumberFormat="1" applyFont="1" applyFill="1" applyBorder="1" applyAlignment="1" applyProtection="1">
      <alignment horizontal="center" vertical="center" wrapText="1"/>
      <protection locked="0"/>
    </xf>
    <xf numFmtId="49" fontId="15" fillId="0" borderId="441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484" xfId="181" applyNumberFormat="1" applyFont="1" applyFill="1" applyBorder="1" applyAlignment="1" applyProtection="1">
      <alignment horizontal="left" vertical="center" wrapText="1"/>
      <protection locked="0"/>
    </xf>
    <xf numFmtId="49" fontId="53" fillId="0" borderId="30" xfId="181" applyNumberFormat="1" applyFont="1" applyFill="1" applyBorder="1" applyAlignment="1" applyProtection="1">
      <alignment horizontal="center" vertical="center" wrapText="1"/>
      <protection locked="0"/>
    </xf>
    <xf numFmtId="49" fontId="15" fillId="0" borderId="138" xfId="181" applyNumberFormat="1" applyFont="1" applyFill="1" applyBorder="1" applyAlignment="1" applyProtection="1">
      <alignment horizontal="center" vertical="center" wrapText="1"/>
      <protection locked="0"/>
    </xf>
    <xf numFmtId="49" fontId="15" fillId="0" borderId="383" xfId="181" applyNumberFormat="1" applyFont="1" applyFill="1" applyBorder="1" applyAlignment="1" applyProtection="1">
      <alignment horizontal="center" vertical="center" wrapText="1"/>
      <protection locked="0"/>
    </xf>
    <xf numFmtId="49" fontId="15" fillId="0" borderId="466" xfId="181" applyNumberFormat="1" applyFont="1" applyFill="1" applyBorder="1" applyAlignment="1" applyProtection="1">
      <alignment horizontal="center" vertical="center" wrapText="1"/>
      <protection locked="0"/>
    </xf>
    <xf numFmtId="3" fontId="15" fillId="0" borderId="277" xfId="181" applyNumberFormat="1" applyFont="1" applyFill="1" applyBorder="1" applyAlignment="1" applyProtection="1">
      <alignment horizontal="right" vertical="center"/>
      <protection locked="0"/>
    </xf>
    <xf numFmtId="3" fontId="15" fillId="0" borderId="472" xfId="181" applyNumberFormat="1" applyFont="1" applyFill="1" applyBorder="1" applyAlignment="1" applyProtection="1">
      <alignment horizontal="right" vertical="center"/>
      <protection locked="0"/>
    </xf>
    <xf numFmtId="3" fontId="15" fillId="0" borderId="485" xfId="181" applyNumberFormat="1" applyFont="1" applyFill="1" applyBorder="1" applyAlignment="1" applyProtection="1">
      <alignment horizontal="right" vertical="center"/>
      <protection locked="0"/>
    </xf>
    <xf numFmtId="49" fontId="15" fillId="16" borderId="443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486" xfId="181" applyNumberFormat="1" applyFont="1" applyFill="1" applyBorder="1" applyAlignment="1" applyProtection="1">
      <alignment horizontal="right" vertical="center"/>
      <protection locked="0"/>
    </xf>
    <xf numFmtId="49" fontId="15" fillId="16" borderId="487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488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489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490" xfId="181" applyNumberFormat="1" applyFont="1" applyFill="1" applyBorder="1" applyAlignment="1" applyProtection="1">
      <alignment horizontal="right" vertical="center"/>
      <protection locked="0"/>
    </xf>
    <xf numFmtId="49" fontId="15" fillId="16" borderId="491" xfId="181" applyNumberFormat="1" applyFont="1" applyFill="1" applyBorder="1" applyAlignment="1" applyProtection="1">
      <alignment horizontal="center" vertical="center" wrapText="1"/>
      <protection locked="0"/>
    </xf>
    <xf numFmtId="3" fontId="15" fillId="0" borderId="492" xfId="181" applyNumberFormat="1" applyFont="1" applyFill="1" applyBorder="1" applyAlignment="1" applyProtection="1">
      <alignment horizontal="right" vertical="center"/>
      <protection locked="0"/>
    </xf>
    <xf numFmtId="49" fontId="15" fillId="16" borderId="493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494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494" xfId="181" applyNumberFormat="1" applyFont="1" applyFill="1" applyBorder="1" applyAlignment="1" applyProtection="1">
      <alignment horizontal="left" vertical="center" wrapText="1"/>
      <protection locked="0"/>
    </xf>
    <xf numFmtId="3" fontId="53" fillId="0" borderId="490" xfId="181" applyNumberFormat="1" applyFont="1" applyFill="1" applyBorder="1" applyAlignment="1" applyProtection="1">
      <alignment horizontal="right" vertical="center"/>
      <protection locked="0"/>
    </xf>
    <xf numFmtId="3" fontId="53" fillId="0" borderId="393" xfId="181" applyNumberFormat="1" applyFont="1" applyFill="1" applyBorder="1" applyAlignment="1" applyProtection="1">
      <alignment horizontal="right" vertical="center"/>
      <protection locked="0"/>
    </xf>
    <xf numFmtId="3" fontId="53" fillId="0" borderId="492" xfId="181" applyNumberFormat="1" applyFont="1" applyFill="1" applyBorder="1" applyAlignment="1" applyProtection="1">
      <alignment horizontal="right" vertical="center"/>
      <protection locked="0"/>
    </xf>
    <xf numFmtId="10" fontId="53" fillId="0" borderId="393" xfId="177" applyNumberFormat="1" applyFont="1" applyFill="1" applyBorder="1" applyAlignment="1" applyProtection="1">
      <alignment horizontal="right" vertical="center"/>
      <protection locked="0"/>
    </xf>
    <xf numFmtId="3" fontId="27" fillId="0" borderId="277" xfId="181" applyNumberFormat="1" applyFont="1" applyFill="1" applyBorder="1" applyAlignment="1" applyProtection="1">
      <alignment vertical="center"/>
      <protection locked="0"/>
    </xf>
    <xf numFmtId="3" fontId="27" fillId="0" borderId="41" xfId="181" applyNumberFormat="1" applyFont="1" applyFill="1" applyBorder="1" applyAlignment="1" applyProtection="1">
      <alignment vertical="center"/>
      <protection locked="0"/>
    </xf>
    <xf numFmtId="3" fontId="27" fillId="0" borderId="454" xfId="181" applyNumberFormat="1" applyFont="1" applyFill="1" applyBorder="1" applyAlignment="1" applyProtection="1">
      <alignment vertical="center"/>
      <protection locked="0"/>
    </xf>
    <xf numFmtId="3" fontId="15" fillId="0" borderId="490" xfId="181" applyNumberFormat="1" applyFont="1" applyFill="1" applyBorder="1" applyAlignment="1" applyProtection="1">
      <alignment vertical="center"/>
      <protection locked="0"/>
    </xf>
    <xf numFmtId="3" fontId="15" fillId="0" borderId="393" xfId="181" applyNumberFormat="1" applyFont="1" applyFill="1" applyBorder="1" applyAlignment="1" applyProtection="1">
      <alignment vertical="center"/>
      <protection locked="0"/>
    </xf>
    <xf numFmtId="3" fontId="15" fillId="0" borderId="495" xfId="181" applyNumberFormat="1" applyFont="1" applyFill="1" applyBorder="1" applyAlignment="1" applyProtection="1">
      <alignment vertical="center"/>
      <protection locked="0"/>
    </xf>
    <xf numFmtId="49" fontId="15" fillId="21" borderId="438" xfId="181" applyNumberFormat="1" applyFont="1" applyFill="1" applyBorder="1" applyAlignment="1" applyProtection="1">
      <alignment horizontal="center" vertical="center" wrapText="1"/>
      <protection locked="0"/>
    </xf>
    <xf numFmtId="49" fontId="15" fillId="21" borderId="498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485" xfId="181" applyNumberFormat="1" applyFont="1" applyFill="1" applyBorder="1" applyAlignment="1" applyProtection="1">
      <alignment vertical="center"/>
      <protection locked="0"/>
    </xf>
    <xf numFmtId="49" fontId="15" fillId="21" borderId="429" xfId="181" applyNumberFormat="1" applyFont="1" applyFill="1" applyBorder="1" applyAlignment="1" applyProtection="1">
      <alignment horizontal="center" vertical="center" wrapText="1"/>
      <protection locked="0"/>
    </xf>
    <xf numFmtId="49" fontId="15" fillId="0" borderId="374" xfId="0" applyNumberFormat="1" applyFont="1" applyBorder="1" applyAlignment="1">
      <alignment vertical="center" wrapText="1"/>
    </xf>
    <xf numFmtId="3" fontId="15" fillId="0" borderId="411" xfId="181" applyNumberFormat="1" applyFont="1" applyFill="1" applyBorder="1" applyAlignment="1" applyProtection="1">
      <alignment vertical="center"/>
      <protection locked="0"/>
    </xf>
    <xf numFmtId="49" fontId="15" fillId="21" borderId="499" xfId="181" applyNumberFormat="1" applyFont="1" applyFill="1" applyBorder="1" applyAlignment="1" applyProtection="1">
      <alignment horizontal="center" vertical="center" wrapText="1"/>
      <protection locked="0"/>
    </xf>
    <xf numFmtId="49" fontId="15" fillId="0" borderId="500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394" xfId="181" applyNumberFormat="1" applyFont="1" applyFill="1" applyBorder="1" applyAlignment="1" applyProtection="1">
      <alignment horizontal="left" vertical="center" wrapText="1"/>
      <protection locked="0"/>
    </xf>
    <xf numFmtId="49" fontId="15" fillId="21" borderId="0" xfId="181" applyNumberFormat="1" applyFont="1" applyFill="1" applyBorder="1" applyAlignment="1" applyProtection="1">
      <alignment horizontal="center" vertical="center" wrapText="1"/>
      <protection locked="0"/>
    </xf>
    <xf numFmtId="3" fontId="15" fillId="0" borderId="52" xfId="181" applyNumberFormat="1" applyFont="1" applyFill="1" applyBorder="1" applyAlignment="1" applyProtection="1">
      <alignment vertical="center"/>
      <protection locked="0"/>
    </xf>
    <xf numFmtId="49" fontId="53" fillId="16" borderId="145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501" xfId="181" applyNumberFormat="1" applyFont="1" applyFill="1" applyBorder="1" applyAlignment="1" applyProtection="1">
      <alignment horizontal="left" vertical="center" wrapText="1"/>
      <protection locked="0"/>
    </xf>
    <xf numFmtId="3" fontId="53" fillId="0" borderId="34" xfId="181" applyNumberFormat="1" applyFont="1" applyFill="1" applyBorder="1" applyAlignment="1" applyProtection="1">
      <alignment horizontal="right" vertical="center"/>
      <protection locked="0"/>
    </xf>
    <xf numFmtId="3" fontId="53" fillId="0" borderId="33" xfId="181" applyNumberFormat="1" applyFont="1" applyFill="1" applyBorder="1" applyAlignment="1" applyProtection="1">
      <alignment horizontal="right" vertical="center"/>
      <protection locked="0"/>
    </xf>
    <xf numFmtId="3" fontId="53" fillId="0" borderId="29" xfId="181" applyNumberFormat="1" applyFont="1" applyFill="1" applyBorder="1" applyAlignment="1" applyProtection="1">
      <alignment horizontal="right" vertical="center"/>
      <protection locked="0"/>
    </xf>
    <xf numFmtId="10" fontId="53" fillId="0" borderId="33" xfId="177" applyNumberFormat="1" applyFont="1" applyFill="1" applyBorder="1" applyAlignment="1" applyProtection="1">
      <alignment horizontal="right" vertical="center"/>
      <protection locked="0"/>
    </xf>
    <xf numFmtId="49" fontId="53" fillId="16" borderId="131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128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129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130" xfId="181" applyNumberFormat="1" applyFont="1" applyFill="1" applyBorder="1" applyAlignment="1" applyProtection="1">
      <alignment horizontal="left" vertical="center" wrapText="1"/>
      <protection locked="0"/>
    </xf>
    <xf numFmtId="3" fontId="53" fillId="0" borderId="131" xfId="181" applyNumberFormat="1" applyFont="1" applyFill="1" applyBorder="1" applyAlignment="1" applyProtection="1">
      <alignment horizontal="right" vertical="center"/>
      <protection locked="0"/>
    </xf>
    <xf numFmtId="3" fontId="53" fillId="0" borderId="128" xfId="181" applyNumberFormat="1" applyFont="1" applyFill="1" applyBorder="1" applyAlignment="1" applyProtection="1">
      <alignment horizontal="right" vertical="center"/>
      <protection locked="0"/>
    </xf>
    <xf numFmtId="3" fontId="53" fillId="0" borderId="473" xfId="181" applyNumberFormat="1" applyFont="1" applyFill="1" applyBorder="1" applyAlignment="1" applyProtection="1">
      <alignment horizontal="right" vertical="center"/>
      <protection locked="0"/>
    </xf>
    <xf numFmtId="10" fontId="53" fillId="0" borderId="128" xfId="177" applyNumberFormat="1" applyFont="1" applyFill="1" applyBorder="1" applyAlignment="1" applyProtection="1">
      <alignment horizontal="right" vertical="center"/>
      <protection locked="0"/>
    </xf>
    <xf numFmtId="10" fontId="27" fillId="9" borderId="30" xfId="177" applyNumberFormat="1" applyFont="1" applyFill="1" applyBorder="1" applyAlignment="1" applyProtection="1">
      <alignment horizontal="right" vertical="center"/>
      <protection locked="0"/>
    </xf>
    <xf numFmtId="3" fontId="40" fillId="0" borderId="454" xfId="181" applyNumberFormat="1" applyFont="1" applyFill="1" applyBorder="1" applyAlignment="1" applyProtection="1">
      <alignment horizontal="right" vertical="center"/>
      <protection locked="0"/>
    </xf>
    <xf numFmtId="3" fontId="10" fillId="0" borderId="411" xfId="181" applyNumberFormat="1" applyFont="1" applyFill="1" applyBorder="1" applyAlignment="1" applyProtection="1">
      <alignment horizontal="right" vertical="center"/>
      <protection locked="0"/>
    </xf>
    <xf numFmtId="3" fontId="10" fillId="0" borderId="393" xfId="181" applyNumberFormat="1" applyFont="1" applyFill="1" applyBorder="1" applyAlignment="1" applyProtection="1">
      <alignment horizontal="right" vertical="center"/>
      <protection locked="0"/>
    </xf>
    <xf numFmtId="3" fontId="10" fillId="0" borderId="418" xfId="181" applyNumberFormat="1" applyFont="1" applyFill="1" applyBorder="1" applyAlignment="1" applyProtection="1">
      <alignment horizontal="right" vertical="center"/>
      <protection locked="0"/>
    </xf>
    <xf numFmtId="10" fontId="10" fillId="0" borderId="393" xfId="177" applyNumberFormat="1" applyFont="1" applyFill="1" applyBorder="1" applyAlignment="1" applyProtection="1">
      <alignment horizontal="right" vertical="center"/>
      <protection locked="0"/>
    </xf>
    <xf numFmtId="3" fontId="59" fillId="0" borderId="411" xfId="181" applyNumberFormat="1" applyFont="1" applyFill="1" applyBorder="1" applyAlignment="1" applyProtection="1">
      <alignment horizontal="right" vertical="center"/>
      <protection locked="0"/>
    </xf>
    <xf numFmtId="3" fontId="59" fillId="0" borderId="393" xfId="181" applyNumberFormat="1" applyFont="1" applyFill="1" applyBorder="1" applyAlignment="1" applyProtection="1">
      <alignment horizontal="right" vertical="center"/>
      <protection locked="0"/>
    </xf>
    <xf numFmtId="3" fontId="59" fillId="0" borderId="418" xfId="181" applyNumberFormat="1" applyFont="1" applyFill="1" applyBorder="1" applyAlignment="1" applyProtection="1">
      <alignment horizontal="right" vertical="center"/>
      <protection locked="0"/>
    </xf>
    <xf numFmtId="10" fontId="59" fillId="0" borderId="393" xfId="177" applyNumberFormat="1" applyFont="1" applyFill="1" applyBorder="1" applyAlignment="1" applyProtection="1">
      <alignment horizontal="right" vertical="center"/>
      <protection locked="0"/>
    </xf>
    <xf numFmtId="49" fontId="10" fillId="16" borderId="434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374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502" xfId="182" applyNumberFormat="1" applyFont="1" applyBorder="1" applyAlignment="1">
      <alignment horizontal="right" vertical="center"/>
    </xf>
    <xf numFmtId="49" fontId="10" fillId="16" borderId="503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504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505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506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392" xfId="181" applyNumberFormat="1" applyFont="1" applyFill="1" applyBorder="1" applyAlignment="1" applyProtection="1">
      <alignment horizontal="right" vertical="center"/>
      <protection locked="0"/>
    </xf>
    <xf numFmtId="49" fontId="53" fillId="16" borderId="0" xfId="181" applyNumberFormat="1" applyFont="1" applyFill="1" applyBorder="1" applyAlignment="1" applyProtection="1">
      <alignment vertical="center" wrapText="1"/>
      <protection locked="0"/>
    </xf>
    <xf numFmtId="49" fontId="53" fillId="16" borderId="52" xfId="181" applyNumberFormat="1" applyFont="1" applyFill="1" applyBorder="1" applyAlignment="1" applyProtection="1">
      <alignment vertical="center" wrapText="1"/>
      <protection locked="0"/>
    </xf>
    <xf numFmtId="3" fontId="53" fillId="0" borderId="21" xfId="181" applyNumberFormat="1" applyFont="1" applyFill="1" applyBorder="1" applyAlignment="1" applyProtection="1">
      <alignment horizontal="right" vertical="center"/>
      <protection locked="0"/>
    </xf>
    <xf numFmtId="3" fontId="52" fillId="0" borderId="411" xfId="181" applyNumberFormat="1" applyFont="1" applyFill="1" applyBorder="1" applyAlignment="1" applyProtection="1">
      <alignment horizontal="right" vertical="center"/>
      <protection locked="0"/>
    </xf>
    <xf numFmtId="3" fontId="53" fillId="0" borderId="508" xfId="181" applyNumberFormat="1" applyFont="1" applyFill="1" applyBorder="1" applyAlignment="1" applyProtection="1">
      <alignment horizontal="right" vertical="center"/>
      <protection locked="0"/>
    </xf>
    <xf numFmtId="49" fontId="53" fillId="16" borderId="503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504" xfId="181" applyNumberFormat="1" applyFont="1" applyFill="1" applyBorder="1" applyAlignment="1" applyProtection="1">
      <alignment horizontal="left" vertical="center" wrapText="1"/>
      <protection locked="0"/>
    </xf>
    <xf numFmtId="3" fontId="53" fillId="0" borderId="411" xfId="181" applyNumberFormat="1" applyFont="1" applyFill="1" applyBorder="1" applyAlignment="1" applyProtection="1">
      <alignment horizontal="right" vertical="center"/>
      <protection locked="0"/>
    </xf>
    <xf numFmtId="10" fontId="53" fillId="0" borderId="509" xfId="177" applyNumberFormat="1" applyFont="1" applyFill="1" applyBorder="1" applyAlignment="1" applyProtection="1">
      <alignment horizontal="right" vertical="center"/>
      <protection locked="0"/>
    </xf>
    <xf numFmtId="3" fontId="40" fillId="0" borderId="510" xfId="181" applyNumberFormat="1" applyFont="1" applyFill="1" applyBorder="1" applyAlignment="1" applyProtection="1">
      <alignment horizontal="right" vertical="center"/>
      <protection locked="0"/>
    </xf>
    <xf numFmtId="3" fontId="10" fillId="0" borderId="511" xfId="181" applyNumberFormat="1" applyFont="1" applyFill="1" applyBorder="1" applyAlignment="1" applyProtection="1">
      <alignment horizontal="right" vertical="center"/>
      <protection locked="0"/>
    </xf>
    <xf numFmtId="3" fontId="59" fillId="0" borderId="511" xfId="181" applyNumberFormat="1" applyFont="1" applyFill="1" applyBorder="1" applyAlignment="1" applyProtection="1">
      <alignment horizontal="right" vertical="center"/>
      <protection locked="0"/>
    </xf>
    <xf numFmtId="3" fontId="10" fillId="0" borderId="508" xfId="181" applyNumberFormat="1" applyFont="1" applyFill="1" applyBorder="1" applyAlignment="1" applyProtection="1">
      <alignment horizontal="right" vertical="center"/>
      <protection locked="0"/>
    </xf>
    <xf numFmtId="3" fontId="15" fillId="0" borderId="512" xfId="182" applyNumberFormat="1" applyFont="1" applyBorder="1" applyAlignment="1">
      <alignment horizontal="right" vertical="center"/>
    </xf>
    <xf numFmtId="49" fontId="10" fillId="16" borderId="513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503" xfId="181" applyNumberFormat="1" applyFont="1" applyFill="1" applyBorder="1" applyAlignment="1" applyProtection="1">
      <alignment horizontal="center" vertical="center" wrapText="1"/>
      <protection locked="0"/>
    </xf>
    <xf numFmtId="3" fontId="15" fillId="0" borderId="514" xfId="182" applyNumberFormat="1" applyFont="1" applyBorder="1" applyAlignment="1">
      <alignment horizontal="right" vertical="center"/>
    </xf>
    <xf numFmtId="49" fontId="10" fillId="16" borderId="21" xfId="181" applyNumberFormat="1" applyFont="1" applyFill="1" applyBorder="1" applyAlignment="1" applyProtection="1">
      <alignment vertical="center" wrapText="1"/>
      <protection locked="0"/>
    </xf>
    <xf numFmtId="3" fontId="10" fillId="0" borderId="492" xfId="181" applyNumberFormat="1" applyFont="1" applyFill="1" applyBorder="1" applyAlignment="1" applyProtection="1">
      <alignment horizontal="right" vertical="center"/>
      <protection locked="0"/>
    </xf>
    <xf numFmtId="3" fontId="10" fillId="0" borderId="178" xfId="181" applyNumberFormat="1" applyFont="1" applyFill="1" applyBorder="1" applyAlignment="1" applyProtection="1">
      <alignment horizontal="right" vertical="center"/>
      <protection locked="0"/>
    </xf>
    <xf numFmtId="3" fontId="10" fillId="0" borderId="510" xfId="181" applyNumberFormat="1" applyFont="1" applyFill="1" applyBorder="1" applyAlignment="1" applyProtection="1">
      <alignment horizontal="right" vertical="center"/>
      <protection locked="0"/>
    </xf>
    <xf numFmtId="49" fontId="10" fillId="16" borderId="515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516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517" xfId="181" applyNumberFormat="1" applyFont="1" applyFill="1" applyBorder="1" applyAlignment="1" applyProtection="1">
      <alignment horizontal="right" vertical="center"/>
      <protection locked="0"/>
    </xf>
    <xf numFmtId="3" fontId="53" fillId="0" borderId="517" xfId="181" applyNumberFormat="1" applyFont="1" applyFill="1" applyBorder="1" applyAlignment="1" applyProtection="1">
      <alignment horizontal="right" vertical="center"/>
      <protection locked="0"/>
    </xf>
    <xf numFmtId="3" fontId="44" fillId="0" borderId="411" xfId="181" applyNumberFormat="1" applyFont="1" applyFill="1" applyBorder="1" applyAlignment="1" applyProtection="1">
      <alignment vertical="center"/>
      <protection locked="0"/>
    </xf>
    <xf numFmtId="3" fontId="53" fillId="0" borderId="411" xfId="181" applyNumberFormat="1" applyFont="1" applyFill="1" applyBorder="1" applyAlignment="1" applyProtection="1">
      <alignment vertical="center"/>
      <protection locked="0"/>
    </xf>
    <xf numFmtId="49" fontId="53" fillId="21" borderId="515" xfId="181" applyNumberFormat="1" applyFont="1" applyFill="1" applyBorder="1" applyAlignment="1" applyProtection="1">
      <alignment horizontal="center" vertical="center" wrapText="1"/>
      <protection locked="0"/>
    </xf>
    <xf numFmtId="49" fontId="53" fillId="21" borderId="516" xfId="181" applyNumberFormat="1" applyFont="1" applyFill="1" applyBorder="1" applyAlignment="1" applyProtection="1">
      <alignment horizontal="left" vertical="center" wrapText="1"/>
      <protection locked="0"/>
    </xf>
    <xf numFmtId="3" fontId="53" fillId="0" borderId="517" xfId="181" applyNumberFormat="1" applyFont="1" applyFill="1" applyBorder="1" applyAlignment="1" applyProtection="1">
      <alignment vertical="center"/>
      <protection locked="0"/>
    </xf>
    <xf numFmtId="10" fontId="53" fillId="0" borderId="518" xfId="177" applyNumberFormat="1" applyFont="1" applyFill="1" applyBorder="1" applyAlignment="1" applyProtection="1">
      <alignment horizontal="right" vertical="center"/>
      <protection locked="0"/>
    </xf>
    <xf numFmtId="3" fontId="40" fillId="0" borderId="178" xfId="181" applyNumberFormat="1" applyFont="1" applyFill="1" applyBorder="1" applyAlignment="1" applyProtection="1">
      <alignment horizontal="right" vertical="center"/>
      <protection locked="0"/>
    </xf>
    <xf numFmtId="3" fontId="59" fillId="0" borderId="178" xfId="181" applyNumberFormat="1" applyFont="1" applyFill="1" applyBorder="1" applyAlignment="1" applyProtection="1">
      <alignment horizontal="right" vertical="center"/>
      <protection locked="0"/>
    </xf>
    <xf numFmtId="3" fontId="59" fillId="0" borderId="510" xfId="181" applyNumberFormat="1" applyFont="1" applyFill="1" applyBorder="1" applyAlignment="1" applyProtection="1">
      <alignment horizontal="right" vertical="center"/>
      <protection locked="0"/>
    </xf>
    <xf numFmtId="49" fontId="10" fillId="16" borderId="520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521" xfId="181" applyNumberFormat="1" applyFont="1" applyFill="1" applyBorder="1" applyAlignment="1" applyProtection="1">
      <alignment horizontal="left" vertical="center" wrapText="1"/>
      <protection locked="0"/>
    </xf>
    <xf numFmtId="3" fontId="13" fillId="0" borderId="522" xfId="182" applyNumberFormat="1" applyBorder="1" applyAlignment="1">
      <alignment vertical="center"/>
    </xf>
    <xf numFmtId="49" fontId="10" fillId="16" borderId="523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524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525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34" xfId="181" applyNumberFormat="1" applyFont="1" applyFill="1" applyBorder="1" applyAlignment="1" applyProtection="1">
      <alignment vertical="center" wrapText="1"/>
      <protection locked="0"/>
    </xf>
    <xf numFmtId="49" fontId="53" fillId="16" borderId="29" xfId="181" applyNumberFormat="1" applyFont="1" applyFill="1" applyBorder="1" applyAlignment="1" applyProtection="1">
      <alignment vertical="center" wrapText="1"/>
      <protection locked="0"/>
    </xf>
    <xf numFmtId="3" fontId="53" fillId="0" borderId="54" xfId="181" applyNumberFormat="1" applyFont="1" applyFill="1" applyBorder="1" applyAlignment="1" applyProtection="1">
      <alignment horizontal="right" vertical="center"/>
      <protection locked="0"/>
    </xf>
    <xf numFmtId="3" fontId="53" fillId="0" borderId="396" xfId="181" applyNumberFormat="1" applyFont="1" applyFill="1" applyBorder="1" applyAlignment="1" applyProtection="1">
      <alignment horizontal="right" vertical="center"/>
      <protection locked="0"/>
    </xf>
    <xf numFmtId="10" fontId="53" fillId="0" borderId="54" xfId="177" applyNumberFormat="1" applyFont="1" applyFill="1" applyBorder="1" applyAlignment="1" applyProtection="1">
      <alignment horizontal="right" vertical="center"/>
      <protection locked="0"/>
    </xf>
    <xf numFmtId="49" fontId="53" fillId="16" borderId="30" xfId="181" applyNumberFormat="1" applyFont="1" applyFill="1" applyBorder="1" applyAlignment="1" applyProtection="1">
      <alignment horizontal="center" vertical="center" wrapText="1"/>
      <protection locked="0"/>
    </xf>
    <xf numFmtId="3" fontId="59" fillId="0" borderId="51" xfId="181" applyNumberFormat="1" applyFont="1" applyFill="1" applyBorder="1" applyAlignment="1" applyProtection="1">
      <alignment horizontal="right" vertical="center"/>
      <protection locked="0"/>
    </xf>
    <xf numFmtId="49" fontId="10" fillId="16" borderId="526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527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528" xfId="181" applyNumberFormat="1" applyFont="1" applyFill="1" applyBorder="1" applyAlignment="1" applyProtection="1">
      <alignment horizontal="right" vertical="center"/>
      <protection locked="0"/>
    </xf>
    <xf numFmtId="49" fontId="10" fillId="16" borderId="529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530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531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532" xfId="181" applyNumberFormat="1" applyFont="1" applyFill="1" applyBorder="1" applyAlignment="1" applyProtection="1">
      <alignment horizontal="right" vertical="center"/>
      <protection locked="0"/>
    </xf>
    <xf numFmtId="3" fontId="10" fillId="0" borderId="533" xfId="181" applyNumberFormat="1" applyFont="1" applyFill="1" applyBorder="1" applyAlignment="1" applyProtection="1">
      <alignment horizontal="right" vertical="center"/>
      <protection locked="0"/>
    </xf>
    <xf numFmtId="49" fontId="10" fillId="16" borderId="534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535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52" xfId="181" applyNumberFormat="1" applyFont="1" applyFill="1" applyBorder="1" applyAlignment="1" applyProtection="1">
      <alignment horizontal="right" vertical="center"/>
      <protection locked="0"/>
    </xf>
    <xf numFmtId="49" fontId="10" fillId="16" borderId="438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498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107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536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534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537" xfId="181" applyNumberFormat="1" applyFont="1" applyFill="1" applyBorder="1" applyAlignment="1" applyProtection="1">
      <alignment horizontal="left" vertical="center" wrapText="1"/>
      <protection locked="0"/>
    </xf>
    <xf numFmtId="3" fontId="53" fillId="0" borderId="178" xfId="181" applyNumberFormat="1" applyFont="1" applyFill="1" applyBorder="1" applyAlignment="1" applyProtection="1">
      <alignment horizontal="right" vertical="center"/>
      <protection locked="0"/>
    </xf>
    <xf numFmtId="3" fontId="15" fillId="0" borderId="528" xfId="181" applyNumberFormat="1" applyFont="1" applyFill="1" applyBorder="1" applyAlignment="1" applyProtection="1">
      <alignment horizontal="right" vertical="center"/>
      <protection locked="0"/>
    </xf>
    <xf numFmtId="49" fontId="10" fillId="16" borderId="538" xfId="181" applyNumberFormat="1" applyFont="1" applyFill="1" applyBorder="1" applyAlignment="1" applyProtection="1">
      <alignment horizontal="left" vertical="center" wrapText="1"/>
      <protection locked="0"/>
    </xf>
    <xf numFmtId="3" fontId="53" fillId="0" borderId="528" xfId="181" applyNumberFormat="1" applyFont="1" applyFill="1" applyBorder="1" applyAlignment="1" applyProtection="1">
      <alignment horizontal="right" vertical="center"/>
      <protection locked="0"/>
    </xf>
    <xf numFmtId="3" fontId="10" fillId="0" borderId="540" xfId="181" applyNumberFormat="1" applyFont="1" applyFill="1" applyBorder="1" applyAlignment="1" applyProtection="1">
      <alignment horizontal="right" vertical="center"/>
      <protection locked="0"/>
    </xf>
    <xf numFmtId="49" fontId="10" fillId="16" borderId="94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95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42" xfId="181" applyNumberFormat="1" applyFont="1" applyFill="1" applyBorder="1" applyAlignment="1" applyProtection="1">
      <alignment horizontal="right" vertical="center"/>
      <protection locked="0"/>
    </xf>
    <xf numFmtId="49" fontId="10" fillId="0" borderId="541" xfId="181" applyNumberFormat="1" applyFont="1" applyFill="1" applyBorder="1" applyAlignment="1" applyProtection="1">
      <alignment horizontal="center" vertical="center" wrapText="1"/>
      <protection locked="0"/>
    </xf>
    <xf numFmtId="49" fontId="10" fillId="0" borderId="542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42" xfId="181" applyNumberFormat="1" applyFont="1" applyFill="1" applyBorder="1" applyAlignment="1" applyProtection="1">
      <alignment vertical="center" wrapText="1"/>
      <protection locked="0"/>
    </xf>
    <xf numFmtId="49" fontId="53" fillId="16" borderId="78" xfId="181" applyNumberFormat="1" applyFont="1" applyFill="1" applyBorder="1" applyAlignment="1" applyProtection="1">
      <alignment vertical="center" wrapText="1"/>
      <protection locked="0"/>
    </xf>
    <xf numFmtId="3" fontId="53" fillId="0" borderId="532" xfId="181" applyNumberFormat="1" applyFont="1" applyFill="1" applyBorder="1" applyAlignment="1" applyProtection="1">
      <alignment horizontal="right" vertical="center"/>
      <protection locked="0"/>
    </xf>
    <xf numFmtId="3" fontId="10" fillId="0" borderId="43" xfId="181" applyNumberFormat="1" applyFont="1" applyFill="1" applyBorder="1" applyAlignment="1" applyProtection="1">
      <alignment horizontal="right" vertical="center"/>
      <protection locked="0"/>
    </xf>
    <xf numFmtId="49" fontId="10" fillId="0" borderId="11" xfId="181" applyNumberFormat="1" applyFont="1" applyFill="1" applyBorder="1" applyAlignment="1" applyProtection="1">
      <alignment horizontal="center" vertical="center" wrapText="1"/>
      <protection locked="0"/>
    </xf>
    <xf numFmtId="3" fontId="15" fillId="0" borderId="543" xfId="182" applyNumberFormat="1" applyFont="1" applyBorder="1" applyAlignment="1">
      <alignment vertical="center"/>
    </xf>
    <xf numFmtId="49" fontId="10" fillId="0" borderId="544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13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522" xfId="182" applyNumberFormat="1" applyFont="1" applyBorder="1" applyAlignment="1">
      <alignment vertical="center"/>
    </xf>
    <xf numFmtId="49" fontId="10" fillId="0" borderId="429" xfId="181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5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545" xfId="181" applyNumberFormat="1" applyFont="1" applyFill="1" applyBorder="1" applyAlignment="1" applyProtection="1">
      <alignment horizontal="right" vertical="center"/>
      <protection locked="0"/>
    </xf>
    <xf numFmtId="49" fontId="53" fillId="16" borderId="94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95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529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527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502" xfId="182" applyNumberFormat="1" applyFont="1" applyBorder="1" applyAlignment="1">
      <alignment vertical="center"/>
    </xf>
    <xf numFmtId="49" fontId="10" fillId="16" borderId="546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547" xfId="181" applyNumberFormat="1" applyFont="1" applyFill="1" applyBorder="1" applyAlignment="1" applyProtection="1">
      <alignment horizontal="right" vertical="center"/>
      <protection locked="0"/>
    </xf>
    <xf numFmtId="49" fontId="10" fillId="0" borderId="534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548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549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550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551" xfId="182" applyNumberFormat="1" applyFont="1" applyBorder="1" applyAlignment="1">
      <alignment vertical="center"/>
    </xf>
    <xf numFmtId="49" fontId="10" fillId="16" borderId="552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553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50" xfId="181" applyNumberFormat="1" applyFont="1" applyFill="1" applyBorder="1" applyAlignment="1" applyProtection="1">
      <alignment horizontal="right" vertical="center"/>
      <protection locked="0"/>
    </xf>
    <xf numFmtId="3" fontId="10" fillId="0" borderId="51" xfId="181" applyNumberFormat="1" applyFont="1" applyFill="1" applyBorder="1" applyAlignment="1" applyProtection="1">
      <alignment horizontal="right" vertical="center"/>
      <protection locked="0"/>
    </xf>
    <xf numFmtId="3" fontId="15" fillId="0" borderId="554" xfId="182" applyNumberFormat="1" applyFont="1" applyBorder="1" applyAlignment="1">
      <alignment vertical="center"/>
    </xf>
    <xf numFmtId="10" fontId="10" fillId="0" borderId="51" xfId="177" applyNumberFormat="1" applyFont="1" applyFill="1" applyBorder="1" applyAlignment="1" applyProtection="1">
      <alignment horizontal="right" vertical="center"/>
      <protection locked="0"/>
    </xf>
    <xf numFmtId="49" fontId="10" fillId="16" borderId="555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556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542" xfId="181" applyNumberFormat="1" applyFont="1" applyFill="1" applyBorder="1" applyAlignment="1" applyProtection="1">
      <alignment horizontal="left" vertical="center" wrapText="1"/>
      <protection locked="0"/>
    </xf>
    <xf numFmtId="3" fontId="53" fillId="0" borderId="557" xfId="181" applyNumberFormat="1" applyFont="1" applyFill="1" applyBorder="1" applyAlignment="1" applyProtection="1">
      <alignment horizontal="right" vertical="center"/>
      <protection locked="0"/>
    </xf>
    <xf numFmtId="3" fontId="40" fillId="0" borderId="411" xfId="181" applyNumberFormat="1" applyFont="1" applyFill="1" applyBorder="1" applyAlignment="1" applyProtection="1">
      <alignment horizontal="right" vertical="center"/>
      <protection locked="0"/>
    </xf>
    <xf numFmtId="3" fontId="40" fillId="0" borderId="393" xfId="181" applyNumberFormat="1" applyFont="1" applyFill="1" applyBorder="1" applyAlignment="1" applyProtection="1">
      <alignment horizontal="right" vertical="center"/>
      <protection locked="0"/>
    </xf>
    <xf numFmtId="3" fontId="40" fillId="0" borderId="558" xfId="181" applyNumberFormat="1" applyFont="1" applyFill="1" applyBorder="1" applyAlignment="1" applyProtection="1">
      <alignment horizontal="right" vertical="center"/>
      <protection locked="0"/>
    </xf>
    <xf numFmtId="10" fontId="40" fillId="0" borderId="393" xfId="177" applyNumberFormat="1" applyFont="1" applyFill="1" applyBorder="1" applyAlignment="1" applyProtection="1">
      <alignment horizontal="right" vertical="center"/>
      <protection locked="0"/>
    </xf>
    <xf numFmtId="3" fontId="10" fillId="0" borderId="558" xfId="181" applyNumberFormat="1" applyFont="1" applyFill="1" applyBorder="1" applyAlignment="1" applyProtection="1">
      <alignment horizontal="right" vertical="center"/>
      <protection locked="0"/>
    </xf>
    <xf numFmtId="3" fontId="10" fillId="0" borderId="559" xfId="181" applyNumberFormat="1" applyFont="1" applyFill="1" applyBorder="1" applyAlignment="1" applyProtection="1">
      <alignment horizontal="right" vertical="center"/>
      <protection locked="0"/>
    </xf>
    <xf numFmtId="49" fontId="10" fillId="16" borderId="560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561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547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562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547" xfId="181" applyNumberFormat="1" applyFont="1" applyFill="1" applyBorder="1" applyAlignment="1" applyProtection="1">
      <alignment vertical="center" wrapText="1"/>
      <protection locked="0"/>
    </xf>
    <xf numFmtId="0" fontId="1" fillId="0" borderId="557" xfId="0" applyFont="1" applyBorder="1" applyAlignment="1">
      <alignment vertical="center"/>
    </xf>
    <xf numFmtId="0" fontId="1" fillId="0" borderId="547" xfId="0" applyFont="1" applyBorder="1" applyAlignment="1">
      <alignment vertical="center"/>
    </xf>
    <xf numFmtId="3" fontId="59" fillId="0" borderId="547" xfId="181" applyNumberFormat="1" applyFont="1" applyFill="1" applyBorder="1" applyAlignment="1" applyProtection="1">
      <alignment horizontal="right" vertical="center"/>
      <protection locked="0"/>
    </xf>
    <xf numFmtId="3" fontId="59" fillId="0" borderId="563" xfId="181" applyNumberFormat="1" applyFont="1" applyFill="1" applyBorder="1" applyAlignment="1" applyProtection="1">
      <alignment horizontal="right" vertical="center"/>
      <protection locked="0"/>
    </xf>
    <xf numFmtId="3" fontId="10" fillId="2" borderId="559" xfId="181" applyNumberFormat="1" applyFont="1" applyFill="1" applyBorder="1" applyAlignment="1" applyProtection="1">
      <alignment horizontal="right" vertical="center"/>
      <protection locked="0"/>
    </xf>
    <xf numFmtId="49" fontId="10" fillId="16" borderId="507" xfId="181" applyNumberFormat="1" applyFont="1" applyFill="1" applyBorder="1" applyAlignment="1" applyProtection="1">
      <alignment horizontal="center" vertical="center" wrapText="1"/>
      <protection locked="0"/>
    </xf>
    <xf numFmtId="0" fontId="10" fillId="0" borderId="513" xfId="0" applyFont="1" applyBorder="1" applyAlignment="1">
      <alignment horizontal="left" vertical="center" wrapText="1"/>
    </xf>
    <xf numFmtId="0" fontId="29" fillId="0" borderId="39" xfId="0" applyFont="1" applyBorder="1" applyAlignment="1">
      <alignment horizontal="center" vertical="center" wrapText="1"/>
    </xf>
    <xf numFmtId="49" fontId="53" fillId="0" borderId="112" xfId="181" applyNumberFormat="1" applyFont="1" applyFill="1" applyBorder="1" applyAlignment="1" applyProtection="1">
      <alignment horizontal="center" vertical="center" wrapText="1"/>
      <protection locked="0"/>
    </xf>
    <xf numFmtId="3" fontId="53" fillId="0" borderId="559" xfId="181" applyNumberFormat="1" applyFont="1" applyFill="1" applyBorder="1" applyAlignment="1" applyProtection="1">
      <alignment horizontal="right" vertical="center"/>
      <protection locked="0"/>
    </xf>
    <xf numFmtId="49" fontId="54" fillId="19" borderId="128" xfId="181" applyNumberFormat="1" applyFont="1" applyFill="1" applyBorder="1" applyAlignment="1" applyProtection="1">
      <alignment horizontal="center" vertical="center" wrapText="1"/>
      <protection locked="0"/>
    </xf>
    <xf numFmtId="49" fontId="54" fillId="19" borderId="129" xfId="181" applyNumberFormat="1" applyFont="1" applyFill="1" applyBorder="1" applyAlignment="1" applyProtection="1">
      <alignment horizontal="center" vertical="center" wrapText="1"/>
      <protection locked="0"/>
    </xf>
    <xf numFmtId="49" fontId="54" fillId="19" borderId="130" xfId="181" applyNumberFormat="1" applyFont="1" applyFill="1" applyBorder="1" applyAlignment="1" applyProtection="1">
      <alignment horizontal="left" vertical="center" wrapText="1"/>
      <protection locked="0"/>
    </xf>
    <xf numFmtId="3" fontId="54" fillId="20" borderId="131" xfId="181" applyNumberFormat="1" applyFont="1" applyFill="1" applyBorder="1" applyAlignment="1" applyProtection="1">
      <alignment horizontal="right" vertical="center"/>
      <protection locked="0"/>
    </xf>
    <xf numFmtId="3" fontId="44" fillId="0" borderId="547" xfId="181" applyNumberFormat="1" applyFont="1" applyFill="1" applyBorder="1" applyAlignment="1" applyProtection="1">
      <alignment horizontal="right" vertical="center"/>
      <protection locked="0"/>
    </xf>
    <xf numFmtId="3" fontId="53" fillId="2" borderId="565" xfId="181" applyNumberFormat="1" applyFont="1" applyFill="1" applyBorder="1" applyAlignment="1" applyProtection="1">
      <alignment horizontal="right" vertical="center"/>
      <protection locked="0"/>
    </xf>
    <xf numFmtId="49" fontId="53" fillId="16" borderId="477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452" xfId="181" applyNumberFormat="1" applyFont="1" applyFill="1" applyBorder="1" applyAlignment="1" applyProtection="1">
      <alignment horizontal="left" vertical="center" wrapText="1"/>
      <protection locked="0"/>
    </xf>
    <xf numFmtId="3" fontId="53" fillId="0" borderId="392" xfId="181" applyNumberFormat="1" applyFont="1" applyFill="1" applyBorder="1" applyAlignment="1" applyProtection="1">
      <alignment horizontal="right" vertical="center"/>
      <protection locked="0"/>
    </xf>
    <xf numFmtId="10" fontId="53" fillId="0" borderId="566" xfId="177" applyNumberFormat="1" applyFont="1" applyFill="1" applyBorder="1" applyAlignment="1" applyProtection="1">
      <alignment horizontal="right" vertical="center"/>
      <protection locked="0"/>
    </xf>
    <xf numFmtId="3" fontId="40" fillId="0" borderId="547" xfId="181" applyNumberFormat="1" applyFont="1" applyFill="1" applyBorder="1" applyAlignment="1" applyProtection="1">
      <alignment horizontal="right" vertical="center"/>
      <protection locked="0"/>
    </xf>
    <xf numFmtId="3" fontId="40" fillId="0" borderId="563" xfId="181" applyNumberFormat="1" applyFont="1" applyFill="1" applyBorder="1" applyAlignment="1" applyProtection="1">
      <alignment horizontal="right" vertical="center"/>
      <protection locked="0"/>
    </xf>
    <xf numFmtId="3" fontId="59" fillId="0" borderId="558" xfId="181" applyNumberFormat="1" applyFont="1" applyFill="1" applyBorder="1" applyAlignment="1" applyProtection="1">
      <alignment horizontal="right" vertical="center"/>
      <protection locked="0"/>
    </xf>
    <xf numFmtId="3" fontId="10" fillId="0" borderId="565" xfId="181" applyNumberFormat="1" applyFont="1" applyFill="1" applyBorder="1" applyAlignment="1" applyProtection="1">
      <alignment horizontal="right" vertical="center"/>
      <protection locked="0"/>
    </xf>
    <xf numFmtId="49" fontId="10" fillId="16" borderId="477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452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396" xfId="181" applyNumberFormat="1" applyFont="1" applyFill="1" applyBorder="1" applyAlignment="1" applyProtection="1">
      <alignment horizontal="right" vertical="center"/>
      <protection locked="0"/>
    </xf>
    <xf numFmtId="49" fontId="57" fillId="19" borderId="33" xfId="181" applyNumberFormat="1" applyFont="1" applyFill="1" applyBorder="1" applyAlignment="1" applyProtection="1">
      <alignment horizontal="center" vertical="center" wrapText="1"/>
      <protection locked="0"/>
    </xf>
    <xf numFmtId="49" fontId="57" fillId="19" borderId="145" xfId="181" applyNumberFormat="1" applyFont="1" applyFill="1" applyBorder="1" applyAlignment="1" applyProtection="1">
      <alignment horizontal="center" vertical="center" wrapText="1"/>
      <protection locked="0"/>
    </xf>
    <xf numFmtId="49" fontId="57" fillId="19" borderId="395" xfId="181" applyNumberFormat="1" applyFont="1" applyFill="1" applyBorder="1" applyAlignment="1" applyProtection="1">
      <alignment horizontal="left" vertical="center" wrapText="1"/>
      <protection locked="0"/>
    </xf>
    <xf numFmtId="3" fontId="57" fillId="20" borderId="34" xfId="181" applyNumberFormat="1" applyFont="1" applyFill="1" applyBorder="1" applyAlignment="1" applyProtection="1">
      <alignment horizontal="right" vertical="center"/>
      <protection locked="0"/>
    </xf>
    <xf numFmtId="3" fontId="57" fillId="20" borderId="33" xfId="181" applyNumberFormat="1" applyFont="1" applyFill="1" applyBorder="1" applyAlignment="1" applyProtection="1">
      <alignment horizontal="right" vertical="center"/>
      <protection locked="0"/>
    </xf>
    <xf numFmtId="3" fontId="57" fillId="20" borderId="35" xfId="181" applyNumberFormat="1" applyFont="1" applyFill="1" applyBorder="1" applyAlignment="1" applyProtection="1">
      <alignment horizontal="right" vertical="center"/>
      <protection locked="0"/>
    </xf>
    <xf numFmtId="10" fontId="40" fillId="20" borderId="33" xfId="177" applyNumberFormat="1" applyFont="1" applyFill="1" applyBorder="1" applyAlignment="1" applyProtection="1">
      <alignment horizontal="right" vertical="center"/>
      <protection locked="0"/>
    </xf>
    <xf numFmtId="49" fontId="10" fillId="16" borderId="39" xfId="181" applyNumberFormat="1" applyFont="1" applyFill="1" applyBorder="1" applyAlignment="1" applyProtection="1">
      <alignment vertical="center" wrapText="1"/>
      <protection locked="0"/>
    </xf>
    <xf numFmtId="49" fontId="10" fillId="16" borderId="557" xfId="181" applyNumberFormat="1" applyFont="1" applyFill="1" applyBorder="1" applyAlignment="1" applyProtection="1">
      <alignment vertical="center" wrapText="1"/>
      <protection locked="0"/>
    </xf>
    <xf numFmtId="49" fontId="10" fillId="0" borderId="52" xfId="181" applyNumberFormat="1" applyFont="1" applyFill="1" applyBorder="1" applyAlignment="1" applyProtection="1">
      <alignment horizontal="center" vertical="center" wrapText="1"/>
      <protection locked="0"/>
    </xf>
    <xf numFmtId="10" fontId="59" fillId="0" borderId="41" xfId="177" applyNumberFormat="1" applyFont="1" applyFill="1" applyBorder="1" applyAlignment="1" applyProtection="1">
      <alignment horizontal="right" vertical="center"/>
      <protection locked="0"/>
    </xf>
    <xf numFmtId="49" fontId="10" fillId="0" borderId="567" xfId="181" applyNumberFormat="1" applyFont="1" applyFill="1" applyBorder="1" applyAlignment="1" applyProtection="1">
      <alignment horizontal="center" vertical="center" wrapText="1"/>
      <protection locked="0"/>
    </xf>
    <xf numFmtId="49" fontId="10" fillId="0" borderId="507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555" xfId="181" applyNumberFormat="1" applyFont="1" applyFill="1" applyBorder="1" applyAlignment="1" applyProtection="1">
      <alignment horizontal="center" vertical="center" wrapText="1"/>
      <protection locked="0"/>
    </xf>
    <xf numFmtId="49" fontId="10" fillId="0" borderId="513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107" xfId="181" applyNumberFormat="1" applyFont="1" applyFill="1" applyBorder="1" applyAlignment="1" applyProtection="1">
      <alignment horizontal="center" vertical="center" wrapText="1"/>
      <protection locked="0"/>
    </xf>
    <xf numFmtId="49" fontId="10" fillId="0" borderId="561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546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568" xfId="181" applyNumberFormat="1" applyFont="1" applyFill="1" applyBorder="1" applyAlignment="1" applyProtection="1">
      <alignment horizontal="center" vertical="center" wrapText="1"/>
      <protection locked="0"/>
    </xf>
    <xf numFmtId="49" fontId="10" fillId="0" borderId="569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570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498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559" xfId="181" applyNumberFormat="1" applyFont="1" applyFill="1" applyBorder="1" applyAlignment="1" applyProtection="1">
      <alignment vertical="center" wrapText="1"/>
      <protection locked="0"/>
    </xf>
    <xf numFmtId="49" fontId="10" fillId="0" borderId="52" xfId="181" applyNumberFormat="1" applyFont="1" applyFill="1" applyBorder="1" applyAlignment="1" applyProtection="1">
      <alignment vertical="center" wrapText="1"/>
      <protection locked="0"/>
    </xf>
    <xf numFmtId="3" fontId="10" fillId="0" borderId="563" xfId="181" applyNumberFormat="1" applyFont="1" applyFill="1" applyBorder="1" applyAlignment="1" applyProtection="1">
      <alignment horizontal="right" vertical="center"/>
      <protection locked="0"/>
    </xf>
    <xf numFmtId="49" fontId="10" fillId="0" borderId="560" xfId="181" applyNumberFormat="1" applyFont="1" applyFill="1" applyBorder="1" applyAlignment="1" applyProtection="1">
      <alignment horizontal="center" vertical="center" wrapText="1"/>
      <protection locked="0"/>
    </xf>
    <xf numFmtId="49" fontId="10" fillId="0" borderId="573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563" xfId="181" applyNumberFormat="1" applyFont="1" applyFill="1" applyBorder="1" applyAlignment="1" applyProtection="1">
      <alignment horizontal="left" vertical="center" wrapText="1"/>
      <protection locked="0"/>
    </xf>
    <xf numFmtId="49" fontId="53" fillId="0" borderId="52" xfId="181" applyNumberFormat="1" applyFont="1" applyFill="1" applyBorder="1" applyAlignment="1" applyProtection="1">
      <alignment horizontal="center" vertical="center" wrapText="1"/>
      <protection locked="0"/>
    </xf>
    <xf numFmtId="49" fontId="53" fillId="0" borderId="52" xfId="181" applyNumberFormat="1" applyFont="1" applyFill="1" applyBorder="1" applyAlignment="1" applyProtection="1">
      <alignment vertical="center" wrapText="1"/>
      <protection locked="0"/>
    </xf>
    <xf numFmtId="49" fontId="53" fillId="0" borderId="49" xfId="181" applyNumberFormat="1" applyFont="1" applyFill="1" applyBorder="1" applyAlignment="1" applyProtection="1">
      <alignment vertical="center" wrapText="1"/>
      <protection locked="0"/>
    </xf>
    <xf numFmtId="49" fontId="10" fillId="0" borderId="575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570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576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429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34" xfId="181" applyNumberFormat="1" applyFont="1" applyFill="1" applyBorder="1" applyAlignment="1" applyProtection="1">
      <alignment vertical="center" wrapText="1"/>
      <protection locked="0"/>
    </xf>
    <xf numFmtId="49" fontId="10" fillId="16" borderId="577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578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579" xfId="181" applyNumberFormat="1" applyFont="1" applyFill="1" applyBorder="1" applyAlignment="1" applyProtection="1">
      <alignment horizontal="right" vertical="center"/>
      <protection locked="0"/>
    </xf>
    <xf numFmtId="3" fontId="10" fillId="0" borderId="580" xfId="181" applyNumberFormat="1" applyFont="1" applyFill="1" applyBorder="1" applyAlignment="1" applyProtection="1">
      <alignment horizontal="right" vertical="center"/>
      <protection locked="0"/>
    </xf>
    <xf numFmtId="49" fontId="10" fillId="16" borderId="31" xfId="181" applyNumberFormat="1" applyFont="1" applyFill="1" applyBorder="1" applyAlignment="1" applyProtection="1">
      <alignment vertical="center" wrapText="1"/>
      <protection locked="0"/>
    </xf>
    <xf numFmtId="49" fontId="10" fillId="16" borderId="581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582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156" xfId="181" applyNumberFormat="1" applyFont="1" applyFill="1" applyBorder="1" applyAlignment="1" applyProtection="1">
      <alignment horizontal="right" vertical="center"/>
      <protection locked="0"/>
    </xf>
    <xf numFmtId="49" fontId="10" fillId="16" borderId="583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557" xfId="181" applyNumberFormat="1" applyFont="1" applyFill="1" applyBorder="1" applyAlignment="1" applyProtection="1">
      <alignment horizontal="right" vertical="center"/>
      <protection locked="0"/>
    </xf>
    <xf numFmtId="49" fontId="10" fillId="16" borderId="584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585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586" xfId="181" applyNumberFormat="1" applyFont="1" applyFill="1" applyBorder="1" applyAlignment="1" applyProtection="1">
      <alignment horizontal="right" vertical="center"/>
      <protection locked="0"/>
    </xf>
    <xf numFmtId="3" fontId="10" fillId="0" borderId="587" xfId="181" applyNumberFormat="1" applyFont="1" applyFill="1" applyBorder="1" applyAlignment="1" applyProtection="1">
      <alignment horizontal="right" vertical="center"/>
      <protection locked="0"/>
    </xf>
    <xf numFmtId="3" fontId="10" fillId="0" borderId="588" xfId="181" applyNumberFormat="1" applyFont="1" applyFill="1" applyBorder="1" applyAlignment="1" applyProtection="1">
      <alignment horizontal="right" vertical="center"/>
      <protection locked="0"/>
    </xf>
    <xf numFmtId="10" fontId="10" fillId="0" borderId="587" xfId="177" applyNumberFormat="1" applyFont="1" applyFill="1" applyBorder="1" applyAlignment="1" applyProtection="1">
      <alignment horizontal="right" vertical="center"/>
      <protection locked="0"/>
    </xf>
    <xf numFmtId="49" fontId="10" fillId="16" borderId="589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584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590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591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592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591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586" xfId="181" applyNumberFormat="1" applyFont="1" applyFill="1" applyBorder="1" applyAlignment="1" applyProtection="1">
      <alignment vertical="center" wrapText="1"/>
      <protection locked="0"/>
    </xf>
    <xf numFmtId="49" fontId="10" fillId="16" borderId="591" xfId="181" applyNumberFormat="1" applyFont="1" applyFill="1" applyBorder="1" applyAlignment="1" applyProtection="1">
      <alignment vertical="center" wrapText="1"/>
      <protection locked="0"/>
    </xf>
    <xf numFmtId="3" fontId="40" fillId="0" borderId="586" xfId="181" applyNumberFormat="1" applyFont="1" applyFill="1" applyBorder="1" applyAlignment="1" applyProtection="1">
      <alignment vertical="center"/>
      <protection locked="0"/>
    </xf>
    <xf numFmtId="3" fontId="40" fillId="0" borderId="587" xfId="181" applyNumberFormat="1" applyFont="1" applyFill="1" applyBorder="1" applyAlignment="1" applyProtection="1">
      <alignment vertical="center"/>
      <protection locked="0"/>
    </xf>
    <xf numFmtId="3" fontId="40" fillId="0" borderId="591" xfId="181" applyNumberFormat="1" applyFont="1" applyFill="1" applyBorder="1" applyAlignment="1" applyProtection="1">
      <alignment vertical="center"/>
      <protection locked="0"/>
    </xf>
    <xf numFmtId="10" fontId="40" fillId="0" borderId="587" xfId="177" applyNumberFormat="1" applyFont="1" applyFill="1" applyBorder="1" applyAlignment="1" applyProtection="1">
      <alignment horizontal="right" vertical="center"/>
      <protection locked="0"/>
    </xf>
    <xf numFmtId="3" fontId="10" fillId="0" borderId="586" xfId="181" applyNumberFormat="1" applyFont="1" applyFill="1" applyBorder="1" applyAlignment="1" applyProtection="1">
      <alignment vertical="center"/>
      <protection locked="0"/>
    </xf>
    <xf numFmtId="3" fontId="10" fillId="0" borderId="587" xfId="181" applyNumberFormat="1" applyFont="1" applyFill="1" applyBorder="1" applyAlignment="1" applyProtection="1">
      <alignment vertical="center"/>
      <protection locked="0"/>
    </xf>
    <xf numFmtId="3" fontId="10" fillId="0" borderId="591" xfId="181" applyNumberFormat="1" applyFont="1" applyFill="1" applyBorder="1" applyAlignment="1" applyProtection="1">
      <alignment vertical="center"/>
      <protection locked="0"/>
    </xf>
    <xf numFmtId="49" fontId="10" fillId="16" borderId="596" xfId="181" applyNumberFormat="1" applyFont="1" applyFill="1" applyBorder="1" applyAlignment="1" applyProtection="1">
      <alignment horizontal="center" vertical="center" wrapText="1"/>
      <protection locked="0"/>
    </xf>
    <xf numFmtId="3" fontId="59" fillId="0" borderId="586" xfId="181" applyNumberFormat="1" applyFont="1" applyFill="1" applyBorder="1" applyAlignment="1" applyProtection="1">
      <alignment horizontal="right" vertical="center"/>
      <protection locked="0"/>
    </xf>
    <xf numFmtId="3" fontId="59" fillId="0" borderId="587" xfId="181" applyNumberFormat="1" applyFont="1" applyFill="1" applyBorder="1" applyAlignment="1" applyProtection="1">
      <alignment horizontal="right" vertical="center"/>
      <protection locked="0"/>
    </xf>
    <xf numFmtId="3" fontId="59" fillId="0" borderId="591" xfId="181" applyNumberFormat="1" applyFont="1" applyFill="1" applyBorder="1" applyAlignment="1" applyProtection="1">
      <alignment horizontal="right" vertical="center"/>
      <protection locked="0"/>
    </xf>
    <xf numFmtId="49" fontId="10" fillId="16" borderId="597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598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583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599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600" xfId="181" applyNumberFormat="1" applyFont="1" applyFill="1" applyBorder="1" applyAlignment="1" applyProtection="1">
      <alignment horizontal="left" vertical="center" wrapText="1"/>
      <protection locked="0"/>
    </xf>
    <xf numFmtId="3" fontId="53" fillId="0" borderId="601" xfId="181" applyNumberFormat="1" applyFont="1" applyFill="1" applyBorder="1" applyAlignment="1" applyProtection="1">
      <alignment horizontal="right" vertical="center"/>
      <protection locked="0"/>
    </xf>
    <xf numFmtId="3" fontId="53" fillId="0" borderId="587" xfId="181" applyNumberFormat="1" applyFont="1" applyFill="1" applyBorder="1" applyAlignment="1" applyProtection="1">
      <alignment horizontal="right" vertical="center"/>
      <protection locked="0"/>
    </xf>
    <xf numFmtId="3" fontId="53" fillId="0" borderId="588" xfId="181" applyNumberFormat="1" applyFont="1" applyFill="1" applyBorder="1" applyAlignment="1" applyProtection="1">
      <alignment horizontal="right" vertical="center"/>
      <protection locked="0"/>
    </xf>
    <xf numFmtId="10" fontId="53" fillId="0" borderId="587" xfId="177" applyNumberFormat="1" applyFont="1" applyFill="1" applyBorder="1" applyAlignment="1" applyProtection="1">
      <alignment horizontal="right" vertical="center"/>
      <protection locked="0"/>
    </xf>
    <xf numFmtId="49" fontId="53" fillId="16" borderId="597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578" xfId="181" applyNumberFormat="1" applyFont="1" applyFill="1" applyBorder="1" applyAlignment="1" applyProtection="1">
      <alignment horizontal="left" vertical="center" wrapText="1"/>
      <protection locked="0"/>
    </xf>
    <xf numFmtId="3" fontId="53" fillId="0" borderId="602" xfId="181" applyNumberFormat="1" applyFont="1" applyFill="1" applyBorder="1" applyAlignment="1" applyProtection="1">
      <alignment horizontal="right" vertical="center"/>
      <protection locked="0"/>
    </xf>
    <xf numFmtId="3" fontId="53" fillId="0" borderId="603" xfId="181" applyNumberFormat="1" applyFont="1" applyFill="1" applyBorder="1" applyAlignment="1" applyProtection="1">
      <alignment horizontal="right" vertical="center"/>
      <protection locked="0"/>
    </xf>
    <xf numFmtId="10" fontId="53" fillId="0" borderId="602" xfId="177" applyNumberFormat="1" applyFont="1" applyFill="1" applyBorder="1" applyAlignment="1" applyProtection="1">
      <alignment horizontal="right" vertical="center"/>
      <protection locked="0"/>
    </xf>
    <xf numFmtId="49" fontId="47" fillId="19" borderId="169" xfId="181" applyNumberFormat="1" applyFont="1" applyFill="1" applyBorder="1" applyAlignment="1" applyProtection="1">
      <alignment horizontal="left" vertical="center" wrapText="1"/>
      <protection locked="0"/>
    </xf>
    <xf numFmtId="3" fontId="27" fillId="7" borderId="131" xfId="181" applyNumberFormat="1" applyFont="1" applyFill="1" applyBorder="1" applyAlignment="1" applyProtection="1">
      <alignment vertical="center"/>
      <protection locked="0"/>
    </xf>
    <xf numFmtId="3" fontId="15" fillId="0" borderId="31" xfId="181" applyNumberFormat="1" applyFont="1" applyFill="1" applyBorder="1" applyAlignment="1" applyProtection="1">
      <alignment vertical="center"/>
      <protection locked="0"/>
    </xf>
    <xf numFmtId="3" fontId="15" fillId="0" borderId="601" xfId="181" applyNumberFormat="1" applyFont="1" applyFill="1" applyBorder="1" applyAlignment="1" applyProtection="1">
      <alignment vertical="center"/>
      <protection locked="0"/>
    </xf>
    <xf numFmtId="3" fontId="15" fillId="0" borderId="587" xfId="181" applyNumberFormat="1" applyFont="1" applyFill="1" applyBorder="1" applyAlignment="1" applyProtection="1">
      <alignment horizontal="right" vertical="center"/>
      <protection locked="0"/>
    </xf>
    <xf numFmtId="10" fontId="15" fillId="0" borderId="587" xfId="177" applyNumberFormat="1" applyFont="1" applyFill="1" applyBorder="1" applyAlignment="1" applyProtection="1">
      <alignment horizontal="right" vertical="center"/>
      <protection locked="0"/>
    </xf>
    <xf numFmtId="3" fontId="15" fillId="0" borderId="588" xfId="181" applyNumberFormat="1" applyFont="1" applyFill="1" applyBorder="1" applyAlignment="1" applyProtection="1">
      <alignment horizontal="right" vertical="center"/>
      <protection locked="0"/>
    </xf>
    <xf numFmtId="49" fontId="15" fillId="16" borderId="596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585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593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594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586" xfId="181" applyNumberFormat="1" applyFont="1" applyFill="1" applyBorder="1" applyAlignment="1" applyProtection="1">
      <alignment vertical="center"/>
      <protection locked="0"/>
    </xf>
    <xf numFmtId="3" fontId="48" fillId="0" borderId="587" xfId="181" applyNumberFormat="1" applyFont="1" applyFill="1" applyBorder="1" applyAlignment="1" applyProtection="1">
      <alignment horizontal="right" vertical="center"/>
      <protection locked="0"/>
    </xf>
    <xf numFmtId="10" fontId="48" fillId="0" borderId="587" xfId="177" applyNumberFormat="1" applyFont="1" applyFill="1" applyBorder="1" applyAlignment="1" applyProtection="1">
      <alignment horizontal="right" vertical="center"/>
      <protection locked="0"/>
    </xf>
    <xf numFmtId="49" fontId="15" fillId="16" borderId="606" xfId="181" applyNumberFormat="1" applyFont="1" applyFill="1" applyBorder="1" applyAlignment="1" applyProtection="1">
      <alignment horizontal="center" vertical="center" wrapText="1"/>
      <protection locked="0"/>
    </xf>
    <xf numFmtId="3" fontId="15" fillId="0" borderId="591" xfId="181" applyNumberFormat="1" applyFont="1" applyFill="1" applyBorder="1" applyAlignment="1" applyProtection="1">
      <alignment horizontal="right" vertical="center"/>
      <protection locked="0"/>
    </xf>
    <xf numFmtId="49" fontId="15" fillId="16" borderId="577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607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392" xfId="181" applyNumberFormat="1" applyFont="1" applyFill="1" applyBorder="1" applyAlignment="1" applyProtection="1">
      <alignment vertical="center"/>
      <protection locked="0"/>
    </xf>
    <xf numFmtId="3" fontId="15" fillId="0" borderId="557" xfId="181" applyNumberFormat="1" applyFont="1" applyFill="1" applyBorder="1" applyAlignment="1" applyProtection="1">
      <alignment horizontal="right" vertical="center"/>
      <protection locked="0"/>
    </xf>
    <xf numFmtId="3" fontId="15" fillId="0" borderId="559" xfId="181" applyNumberFormat="1" applyFont="1" applyFill="1" applyBorder="1" applyAlignment="1" applyProtection="1">
      <alignment horizontal="right" vertical="center"/>
      <protection locked="0"/>
    </xf>
    <xf numFmtId="3" fontId="15" fillId="0" borderId="565" xfId="181" applyNumberFormat="1" applyFont="1" applyFill="1" applyBorder="1" applyAlignment="1" applyProtection="1">
      <alignment vertical="center"/>
      <protection locked="0"/>
    </xf>
    <xf numFmtId="49" fontId="15" fillId="16" borderId="609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576" xfId="181" applyNumberFormat="1" applyFont="1" applyFill="1" applyBorder="1" applyAlignment="1" applyProtection="1">
      <alignment horizontal="left" vertical="center" wrapText="1"/>
      <protection locked="0"/>
    </xf>
    <xf numFmtId="10" fontId="15" fillId="0" borderId="566" xfId="177" applyNumberFormat="1" applyFont="1" applyFill="1" applyBorder="1" applyAlignment="1" applyProtection="1">
      <alignment horizontal="right" vertical="center"/>
      <protection locked="0"/>
    </xf>
    <xf numFmtId="49" fontId="57" fillId="19" borderId="131" xfId="181" applyNumberFormat="1" applyFont="1" applyFill="1" applyBorder="1" applyAlignment="1" applyProtection="1">
      <alignment horizontal="center" vertical="center" wrapText="1"/>
      <protection locked="0"/>
    </xf>
    <xf numFmtId="49" fontId="57" fillId="19" borderId="169" xfId="181" applyNumberFormat="1" applyFont="1" applyFill="1" applyBorder="1" applyAlignment="1" applyProtection="1">
      <alignment horizontal="left" vertical="center" wrapText="1"/>
      <protection locked="0"/>
    </xf>
    <xf numFmtId="3" fontId="57" fillId="20" borderId="131" xfId="181" applyNumberFormat="1" applyFont="1" applyFill="1" applyBorder="1" applyAlignment="1" applyProtection="1">
      <alignment vertical="center"/>
      <protection locked="0"/>
    </xf>
    <xf numFmtId="3" fontId="57" fillId="20" borderId="128" xfId="181" applyNumberFormat="1" applyFont="1" applyFill="1" applyBorder="1" applyAlignment="1" applyProtection="1">
      <alignment vertical="center"/>
      <protection locked="0"/>
    </xf>
    <xf numFmtId="3" fontId="57" fillId="20" borderId="132" xfId="181" applyNumberFormat="1" applyFont="1" applyFill="1" applyBorder="1" applyAlignment="1" applyProtection="1">
      <alignment vertical="center"/>
      <protection locked="0"/>
    </xf>
    <xf numFmtId="49" fontId="10" fillId="0" borderId="31" xfId="181" applyNumberFormat="1" applyFont="1" applyFill="1" applyBorder="1" applyAlignment="1" applyProtection="1">
      <alignment vertical="center" wrapText="1"/>
      <protection locked="0"/>
    </xf>
    <xf numFmtId="3" fontId="40" fillId="0" borderId="50" xfId="181" applyNumberFormat="1" applyFont="1" applyFill="1" applyBorder="1" applyAlignment="1" applyProtection="1">
      <alignment vertical="center"/>
      <protection locked="0"/>
    </xf>
    <xf numFmtId="3" fontId="40" fillId="0" borderId="51" xfId="181" applyNumberFormat="1" applyFont="1" applyFill="1" applyBorder="1" applyAlignment="1" applyProtection="1">
      <alignment vertical="center"/>
      <protection locked="0"/>
    </xf>
    <xf numFmtId="3" fontId="40" fillId="0" borderId="293" xfId="181" applyNumberFormat="1" applyFont="1" applyFill="1" applyBorder="1" applyAlignment="1" applyProtection="1">
      <alignment vertical="center"/>
      <protection locked="0"/>
    </xf>
    <xf numFmtId="3" fontId="10" fillId="0" borderId="411" xfId="181" applyNumberFormat="1" applyFont="1" applyFill="1" applyBorder="1" applyAlignment="1" applyProtection="1">
      <alignment vertical="center"/>
      <protection locked="0"/>
    </xf>
    <xf numFmtId="3" fontId="10" fillId="0" borderId="393" xfId="181" applyNumberFormat="1" applyFont="1" applyFill="1" applyBorder="1" applyAlignment="1" applyProtection="1">
      <alignment vertical="center"/>
      <protection locked="0"/>
    </xf>
    <xf numFmtId="3" fontId="10" fillId="0" borderId="558" xfId="181" applyNumberFormat="1" applyFont="1" applyFill="1" applyBorder="1" applyAlignment="1" applyProtection="1">
      <alignment vertical="center"/>
      <protection locked="0"/>
    </xf>
    <xf numFmtId="49" fontId="10" fillId="16" borderId="598" xfId="181" applyNumberFormat="1" applyFont="1" applyFill="1" applyBorder="1" applyAlignment="1" applyProtection="1">
      <alignment horizontal="center" vertical="center" wrapText="1"/>
      <protection locked="0"/>
    </xf>
    <xf numFmtId="3" fontId="10" fillId="0" borderId="610" xfId="182" applyNumberFormat="1" applyFont="1" applyBorder="1" applyAlignment="1">
      <alignment horizontal="right" vertical="center"/>
    </xf>
    <xf numFmtId="49" fontId="10" fillId="16" borderId="609" xfId="181" applyNumberFormat="1" applyFont="1" applyFill="1" applyBorder="1" applyAlignment="1" applyProtection="1">
      <alignment horizontal="center" vertical="center" wrapText="1"/>
      <protection locked="0"/>
    </xf>
    <xf numFmtId="49" fontId="10" fillId="0" borderId="611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612" xfId="181" applyNumberFormat="1" applyFont="1" applyFill="1" applyBorder="1" applyAlignment="1" applyProtection="1">
      <alignment horizontal="left" vertical="center" wrapText="1"/>
      <protection locked="0"/>
    </xf>
    <xf numFmtId="3" fontId="59" fillId="0" borderId="547" xfId="181" applyNumberFormat="1" applyFont="1" applyFill="1" applyBorder="1" applyAlignment="1" applyProtection="1">
      <alignment vertical="center"/>
      <protection locked="0"/>
    </xf>
    <xf numFmtId="3" fontId="59" fillId="0" borderId="41" xfId="181" applyNumberFormat="1" applyFont="1" applyFill="1" applyBorder="1" applyAlignment="1" applyProtection="1">
      <alignment vertical="center"/>
      <protection locked="0"/>
    </xf>
    <xf numFmtId="3" fontId="59" fillId="0" borderId="563" xfId="181" applyNumberFormat="1" applyFont="1" applyFill="1" applyBorder="1" applyAlignment="1" applyProtection="1">
      <alignment vertical="center"/>
      <protection locked="0"/>
    </xf>
    <xf numFmtId="49" fontId="10" fillId="16" borderId="613" xfId="181" applyNumberFormat="1" applyFont="1" applyFill="1" applyBorder="1" applyAlignment="1" applyProtection="1">
      <alignment horizontal="center" vertical="center" wrapText="1"/>
      <protection locked="0"/>
    </xf>
    <xf numFmtId="3" fontId="10" fillId="0" borderId="547" xfId="181" applyNumberFormat="1" applyFont="1" applyFill="1" applyBorder="1" applyAlignment="1" applyProtection="1">
      <alignment vertical="center"/>
      <protection locked="0"/>
    </xf>
    <xf numFmtId="49" fontId="10" fillId="16" borderId="614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615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508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0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0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41" xfId="181" applyNumberFormat="1" applyFont="1" applyFill="1" applyBorder="1" applyAlignment="1" applyProtection="1">
      <alignment vertical="center"/>
      <protection locked="0"/>
    </xf>
    <xf numFmtId="3" fontId="10" fillId="0" borderId="563" xfId="181" applyNumberFormat="1" applyFont="1" applyFill="1" applyBorder="1" applyAlignment="1" applyProtection="1">
      <alignment vertical="center"/>
      <protection locked="0"/>
    </xf>
    <xf numFmtId="49" fontId="10" fillId="16" borderId="431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607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34" xfId="181" applyNumberFormat="1" applyFont="1" applyFill="1" applyBorder="1" applyAlignment="1" applyProtection="1">
      <alignment vertical="center"/>
      <protection locked="0"/>
    </xf>
    <xf numFmtId="49" fontId="47" fillId="20" borderId="129" xfId="181" applyNumberFormat="1" applyFont="1" applyFill="1" applyBorder="1" applyAlignment="1" applyProtection="1">
      <alignment horizontal="center" vertical="center" wrapText="1"/>
      <protection locked="0"/>
    </xf>
    <xf numFmtId="49" fontId="47" fillId="20" borderId="130" xfId="181" applyNumberFormat="1" applyFont="1" applyFill="1" applyBorder="1" applyAlignment="1" applyProtection="1">
      <alignment horizontal="left" vertical="center" wrapText="1"/>
      <protection locked="0"/>
    </xf>
    <xf numFmtId="0" fontId="93" fillId="0" borderId="31" xfId="0" applyFont="1" applyBorder="1" applyAlignment="1">
      <alignment vertical="center" wrapText="1"/>
    </xf>
    <xf numFmtId="3" fontId="27" fillId="0" borderId="50" xfId="181" applyNumberFormat="1" applyFont="1" applyFill="1" applyBorder="1" applyAlignment="1" applyProtection="1">
      <alignment vertical="center"/>
      <protection locked="0"/>
    </xf>
    <xf numFmtId="3" fontId="27" fillId="0" borderId="51" xfId="181" applyNumberFormat="1" applyFont="1" applyFill="1" applyBorder="1" applyAlignment="1" applyProtection="1">
      <alignment vertical="center"/>
      <protection locked="0"/>
    </xf>
    <xf numFmtId="3" fontId="27" fillId="0" borderId="293" xfId="181" applyNumberFormat="1" applyFont="1" applyFill="1" applyBorder="1" applyAlignment="1" applyProtection="1">
      <alignment vertical="center"/>
      <protection locked="0"/>
    </xf>
    <xf numFmtId="0" fontId="93" fillId="0" borderId="52" xfId="0" applyFont="1" applyBorder="1" applyAlignment="1">
      <alignment vertical="center" wrapText="1"/>
    </xf>
    <xf numFmtId="3" fontId="15" fillId="0" borderId="547" xfId="181" applyNumberFormat="1" applyFont="1" applyFill="1" applyBorder="1" applyAlignment="1" applyProtection="1">
      <alignment vertical="center"/>
      <protection locked="0"/>
    </xf>
    <xf numFmtId="3" fontId="15" fillId="0" borderId="41" xfId="181" applyNumberFormat="1" applyFont="1" applyFill="1" applyBorder="1" applyAlignment="1" applyProtection="1">
      <alignment vertical="center"/>
      <protection locked="0"/>
    </xf>
    <xf numFmtId="3" fontId="15" fillId="0" borderId="563" xfId="181" applyNumberFormat="1" applyFont="1" applyFill="1" applyBorder="1" applyAlignment="1" applyProtection="1">
      <alignment vertical="center"/>
      <protection locked="0"/>
    </xf>
    <xf numFmtId="3" fontId="48" fillId="0" borderId="547" xfId="181" applyNumberFormat="1" applyFont="1" applyFill="1" applyBorder="1" applyAlignment="1" applyProtection="1">
      <alignment vertical="center"/>
      <protection locked="0"/>
    </xf>
    <xf numFmtId="3" fontId="48" fillId="0" borderId="41" xfId="181" applyNumberFormat="1" applyFont="1" applyFill="1" applyBorder="1" applyAlignment="1" applyProtection="1">
      <alignment vertical="center"/>
      <protection locked="0"/>
    </xf>
    <xf numFmtId="3" fontId="48" fillId="0" borderId="563" xfId="181" applyNumberFormat="1" applyFont="1" applyFill="1" applyBorder="1" applyAlignment="1" applyProtection="1">
      <alignment vertical="center"/>
      <protection locked="0"/>
    </xf>
    <xf numFmtId="49" fontId="15" fillId="16" borderId="618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619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508" xfId="181" applyNumberFormat="1" applyFont="1" applyFill="1" applyBorder="1" applyAlignment="1" applyProtection="1">
      <alignment horizontal="right" vertical="center"/>
      <protection locked="0"/>
    </xf>
    <xf numFmtId="49" fontId="15" fillId="16" borderId="547" xfId="181" applyNumberFormat="1" applyFont="1" applyFill="1" applyBorder="1" applyAlignment="1" applyProtection="1">
      <alignment vertical="center" wrapText="1"/>
      <protection locked="0"/>
    </xf>
    <xf numFmtId="49" fontId="15" fillId="16" borderId="563" xfId="181" applyNumberFormat="1" applyFont="1" applyFill="1" applyBorder="1" applyAlignment="1" applyProtection="1">
      <alignment vertical="center" wrapText="1"/>
      <protection locked="0"/>
    </xf>
    <xf numFmtId="49" fontId="15" fillId="16" borderId="583" xfId="181" applyNumberFormat="1" applyFont="1" applyFill="1" applyBorder="1" applyAlignment="1" applyProtection="1">
      <alignment horizontal="left" vertical="center" wrapText="1"/>
      <protection locked="0"/>
    </xf>
    <xf numFmtId="0" fontId="93" fillId="0" borderId="34" xfId="0" applyFont="1" applyBorder="1" applyAlignment="1">
      <alignment vertical="center" wrapText="1"/>
    </xf>
    <xf numFmtId="49" fontId="15" fillId="16" borderId="620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621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622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623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50" xfId="181" applyNumberFormat="1" applyFont="1" applyFill="1" applyBorder="1" applyAlignment="1" applyProtection="1">
      <alignment vertical="center"/>
      <protection locked="0"/>
    </xf>
    <xf numFmtId="49" fontId="15" fillId="16" borderId="624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625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411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511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511" xfId="181" applyNumberFormat="1" applyFont="1" applyFill="1" applyBorder="1" applyAlignment="1" applyProtection="1">
      <alignment horizontal="right" vertical="center"/>
      <protection locked="0"/>
    </xf>
    <xf numFmtId="49" fontId="15" fillId="16" borderId="429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563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626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616" xfId="181" applyNumberFormat="1" applyFont="1" applyFill="1" applyBorder="1" applyAlignment="1" applyProtection="1">
      <alignment vertical="center" wrapText="1"/>
      <protection locked="0"/>
    </xf>
    <xf numFmtId="49" fontId="15" fillId="16" borderId="617" xfId="181" applyNumberFormat="1" applyFont="1" applyFill="1" applyBorder="1" applyAlignment="1" applyProtection="1">
      <alignment vertical="center" wrapText="1"/>
      <protection locked="0"/>
    </xf>
    <xf numFmtId="3" fontId="15" fillId="0" borderId="511" xfId="181" applyNumberFormat="1" applyFont="1" applyFill="1" applyBorder="1" applyAlignment="1" applyProtection="1">
      <alignment vertical="center"/>
      <protection locked="0"/>
    </xf>
    <xf numFmtId="49" fontId="15" fillId="0" borderId="629" xfId="181" applyNumberFormat="1" applyFont="1" applyFill="1" applyBorder="1" applyAlignment="1" applyProtection="1">
      <alignment horizontal="center" vertical="center" wrapText="1"/>
      <protection locked="0"/>
    </xf>
    <xf numFmtId="2" fontId="15" fillId="0" borderId="572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630" xfId="181" applyNumberFormat="1" applyFont="1" applyFill="1" applyBorder="1" applyAlignment="1" applyProtection="1">
      <alignment vertical="center"/>
      <protection locked="0"/>
    </xf>
    <xf numFmtId="3" fontId="15" fillId="0" borderId="542" xfId="182" applyNumberFormat="1" applyFont="1" applyBorder="1" applyAlignment="1">
      <alignment vertical="center" wrapText="1"/>
    </xf>
    <xf numFmtId="2" fontId="15" fillId="0" borderId="563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532" xfId="181" applyNumberFormat="1" applyFont="1" applyFill="1" applyBorder="1" applyAlignment="1" applyProtection="1">
      <alignment horizontal="right" vertical="center"/>
      <protection locked="0"/>
    </xf>
    <xf numFmtId="49" fontId="15" fillId="16" borderId="598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631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632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631" xfId="181" applyNumberFormat="1" applyFont="1" applyFill="1" applyBorder="1" applyAlignment="1" applyProtection="1">
      <alignment horizontal="center" vertical="center" wrapText="1"/>
      <protection locked="0"/>
    </xf>
    <xf numFmtId="49" fontId="15" fillId="0" borderId="632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624" xfId="181" applyNumberFormat="1" applyFont="1" applyFill="1" applyBorder="1" applyAlignment="1" applyProtection="1">
      <alignment horizontal="center" vertical="center" wrapText="1"/>
      <protection locked="0"/>
    </xf>
    <xf numFmtId="0" fontId="93" fillId="0" borderId="33" xfId="0" applyFont="1" applyBorder="1" applyAlignment="1">
      <alignment vertical="center" wrapText="1"/>
    </xf>
    <xf numFmtId="49" fontId="15" fillId="0" borderId="431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633" xfId="181" applyNumberFormat="1" applyFont="1" applyFill="1" applyBorder="1" applyAlignment="1" applyProtection="1">
      <alignment horizontal="left" vertical="center" wrapText="1"/>
      <protection locked="0"/>
    </xf>
    <xf numFmtId="0" fontId="93" fillId="0" borderId="30" xfId="0" applyFont="1" applyBorder="1" applyAlignment="1">
      <alignment vertical="center" wrapText="1"/>
    </xf>
    <xf numFmtId="49" fontId="15" fillId="0" borderId="28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32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634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39" xfId="181" applyNumberFormat="1" applyFont="1" applyFill="1" applyBorder="1" applyAlignment="1" applyProtection="1">
      <alignment vertical="center" wrapText="1"/>
      <protection locked="0"/>
    </xf>
    <xf numFmtId="49" fontId="15" fillId="0" borderId="429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608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608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547" xfId="181" applyNumberFormat="1" applyFont="1" applyFill="1" applyBorder="1" applyAlignment="1" applyProtection="1">
      <alignment horizontal="center" vertical="center" wrapText="1"/>
      <protection locked="0"/>
    </xf>
    <xf numFmtId="3" fontId="27" fillId="0" borderId="411" xfId="181" applyNumberFormat="1" applyFont="1" applyFill="1" applyBorder="1" applyAlignment="1" applyProtection="1">
      <alignment vertical="center"/>
      <protection locked="0"/>
    </xf>
    <xf numFmtId="3" fontId="27" fillId="0" borderId="393" xfId="181" applyNumberFormat="1" applyFont="1" applyFill="1" applyBorder="1" applyAlignment="1" applyProtection="1">
      <alignment vertical="center"/>
      <protection locked="0"/>
    </xf>
    <xf numFmtId="3" fontId="27" fillId="0" borderId="511" xfId="181" applyNumberFormat="1" applyFont="1" applyFill="1" applyBorder="1" applyAlignment="1" applyProtection="1">
      <alignment vertical="center"/>
      <protection locked="0"/>
    </xf>
    <xf numFmtId="49" fontId="15" fillId="16" borderId="635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618" xfId="181" applyNumberFormat="1" applyFont="1" applyFill="1" applyBorder="1" applyAlignment="1" applyProtection="1">
      <alignment horizontal="center" vertical="center" wrapText="1"/>
      <protection locked="0"/>
    </xf>
    <xf numFmtId="0" fontId="93" fillId="0" borderId="39" xfId="0" applyFont="1" applyBorder="1" applyAlignment="1">
      <alignment horizontal="center" vertical="center" wrapText="1"/>
    </xf>
    <xf numFmtId="49" fontId="15" fillId="0" borderId="107" xfId="181" applyNumberFormat="1" applyFont="1" applyFill="1" applyBorder="1" applyAlignment="1" applyProtection="1">
      <alignment horizontal="center" vertical="center" wrapText="1"/>
      <protection locked="0"/>
    </xf>
    <xf numFmtId="3" fontId="15" fillId="0" borderId="571" xfId="181" applyNumberFormat="1" applyFont="1" applyFill="1" applyBorder="1" applyAlignment="1" applyProtection="1">
      <alignment vertical="center"/>
      <protection locked="0"/>
    </xf>
    <xf numFmtId="2" fontId="15" fillId="0" borderId="617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636" xfId="181" applyNumberFormat="1" applyFont="1" applyFill="1" applyBorder="1" applyAlignment="1" applyProtection="1">
      <alignment horizontal="center" vertical="center" wrapText="1"/>
      <protection locked="0"/>
    </xf>
    <xf numFmtId="49" fontId="15" fillId="0" borderId="547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637" xfId="181" applyNumberFormat="1" applyFont="1" applyFill="1" applyBorder="1" applyAlignment="1" applyProtection="1">
      <alignment horizontal="center" vertical="center" wrapText="1"/>
      <protection locked="0"/>
    </xf>
    <xf numFmtId="3" fontId="48" fillId="0" borderId="411" xfId="181" applyNumberFormat="1" applyFont="1" applyFill="1" applyBorder="1" applyAlignment="1" applyProtection="1">
      <alignment vertical="center"/>
      <protection locked="0"/>
    </xf>
    <xf numFmtId="3" fontId="48" fillId="0" borderId="511" xfId="181" applyNumberFormat="1" applyFont="1" applyFill="1" applyBorder="1" applyAlignment="1" applyProtection="1">
      <alignment vertical="center"/>
      <protection locked="0"/>
    </xf>
    <xf numFmtId="49" fontId="15" fillId="0" borderId="637" xfId="181" applyNumberFormat="1" applyFont="1" applyFill="1" applyBorder="1" applyAlignment="1" applyProtection="1">
      <alignment horizontal="center" vertical="center" wrapText="1"/>
      <protection locked="0"/>
    </xf>
    <xf numFmtId="0" fontId="15" fillId="0" borderId="608" xfId="0" applyFont="1" applyBorder="1" applyAlignment="1">
      <alignment horizontal="left" vertical="center" wrapText="1"/>
    </xf>
    <xf numFmtId="0" fontId="15" fillId="0" borderId="638" xfId="0" applyFont="1" applyBorder="1" applyAlignment="1">
      <alignment horizontal="left" vertical="center" wrapText="1"/>
    </xf>
    <xf numFmtId="49" fontId="15" fillId="0" borderId="639" xfId="181" applyNumberFormat="1" applyFont="1" applyFill="1" applyBorder="1" applyAlignment="1" applyProtection="1">
      <alignment horizontal="center" vertical="center" wrapText="1"/>
      <protection locked="0"/>
    </xf>
    <xf numFmtId="49" fontId="15" fillId="0" borderId="640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641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642" xfId="181" applyNumberFormat="1" applyFont="1" applyFill="1" applyBorder="1" applyAlignment="1" applyProtection="1">
      <alignment horizontal="right" vertical="center"/>
      <protection locked="0"/>
    </xf>
    <xf numFmtId="49" fontId="15" fillId="0" borderId="643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590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644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645" xfId="181" applyNumberFormat="1" applyFont="1" applyFill="1" applyBorder="1" applyAlignment="1" applyProtection="1">
      <alignment horizontal="left" vertical="center" wrapText="1"/>
      <protection locked="0"/>
    </xf>
    <xf numFmtId="2" fontId="15" fillId="0" borderId="646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563" xfId="181" applyNumberFormat="1" applyFont="1" applyFill="1" applyBorder="1" applyAlignment="1" applyProtection="1">
      <alignment horizontal="left" vertical="center" wrapText="1"/>
      <protection locked="0"/>
    </xf>
    <xf numFmtId="3" fontId="53" fillId="0" borderId="547" xfId="181" applyNumberFormat="1" applyFont="1" applyFill="1" applyBorder="1" applyAlignment="1" applyProtection="1">
      <alignment vertical="center"/>
      <protection locked="0"/>
    </xf>
    <xf numFmtId="0" fontId="93" fillId="0" borderId="33" xfId="0" applyFont="1" applyBorder="1" applyAlignment="1">
      <alignment horizontal="center" vertical="center" wrapText="1"/>
    </xf>
    <xf numFmtId="49" fontId="15" fillId="0" borderId="647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648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649" xfId="181" applyNumberFormat="1" applyFont="1" applyFill="1" applyBorder="1" applyAlignment="1" applyProtection="1">
      <alignment vertical="center"/>
      <protection locked="0"/>
    </xf>
    <xf numFmtId="3" fontId="15" fillId="0" borderId="650" xfId="181" applyNumberFormat="1" applyFont="1" applyFill="1" applyBorder="1" applyAlignment="1" applyProtection="1">
      <alignment horizontal="right" vertical="center"/>
      <protection locked="0"/>
    </xf>
    <xf numFmtId="49" fontId="40" fillId="17" borderId="130" xfId="181" applyNumberFormat="1" applyFont="1" applyFill="1" applyBorder="1" applyAlignment="1" applyProtection="1">
      <alignment horizontal="left" vertical="center" wrapText="1"/>
      <protection locked="0"/>
    </xf>
    <xf numFmtId="0" fontId="1" fillId="0" borderId="39" xfId="0" applyFont="1" applyBorder="1" applyAlignment="1">
      <alignment horizontal="center" vertical="center" wrapText="1"/>
    </xf>
    <xf numFmtId="3" fontId="40" fillId="0" borderId="52" xfId="181" applyNumberFormat="1" applyFont="1" applyFill="1" applyBorder="1" applyAlignment="1" applyProtection="1">
      <alignment vertical="center"/>
      <protection locked="0"/>
    </xf>
    <xf numFmtId="3" fontId="40" fillId="0" borderId="39" xfId="181" applyNumberFormat="1" applyFont="1" applyFill="1" applyBorder="1" applyAlignment="1" applyProtection="1">
      <alignment vertical="center"/>
      <protection locked="0"/>
    </xf>
    <xf numFmtId="3" fontId="40" fillId="0" borderId="49" xfId="181" applyNumberFormat="1" applyFont="1" applyFill="1" applyBorder="1" applyAlignment="1" applyProtection="1">
      <alignment vertical="center"/>
      <protection locked="0"/>
    </xf>
    <xf numFmtId="3" fontId="10" fillId="0" borderId="652" xfId="181" applyNumberFormat="1" applyFont="1" applyFill="1" applyBorder="1" applyAlignment="1" applyProtection="1">
      <alignment vertical="center"/>
      <protection locked="0"/>
    </xf>
    <xf numFmtId="3" fontId="10" fillId="0" borderId="653" xfId="181" applyNumberFormat="1" applyFont="1" applyFill="1" applyBorder="1" applyAlignment="1" applyProtection="1">
      <alignment vertical="center"/>
      <protection locked="0"/>
    </xf>
    <xf numFmtId="3" fontId="10" fillId="0" borderId="654" xfId="181" applyNumberFormat="1" applyFont="1" applyFill="1" applyBorder="1" applyAlignment="1" applyProtection="1">
      <alignment vertical="center"/>
      <protection locked="0"/>
    </xf>
    <xf numFmtId="10" fontId="10" fillId="0" borderId="653" xfId="177" applyNumberFormat="1" applyFont="1" applyFill="1" applyBorder="1" applyAlignment="1" applyProtection="1">
      <alignment horizontal="right" vertical="center"/>
      <protection locked="0"/>
    </xf>
    <xf numFmtId="3" fontId="59" fillId="0" borderId="652" xfId="181" applyNumberFormat="1" applyFont="1" applyFill="1" applyBorder="1" applyAlignment="1" applyProtection="1">
      <alignment vertical="center"/>
      <protection locked="0"/>
    </xf>
    <xf numFmtId="3" fontId="59" fillId="0" borderId="653" xfId="181" applyNumberFormat="1" applyFont="1" applyFill="1" applyBorder="1" applyAlignment="1" applyProtection="1">
      <alignment vertical="center"/>
      <protection locked="0"/>
    </xf>
    <xf numFmtId="3" fontId="59" fillId="0" borderId="654" xfId="181" applyNumberFormat="1" applyFont="1" applyFill="1" applyBorder="1" applyAlignment="1" applyProtection="1">
      <alignment vertical="center"/>
      <protection locked="0"/>
    </xf>
    <xf numFmtId="49" fontId="10" fillId="16" borderId="655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656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653" xfId="181" applyNumberFormat="1" applyFont="1" applyFill="1" applyBorder="1" applyAlignment="1" applyProtection="1">
      <alignment horizontal="right" vertical="center"/>
      <protection locked="0"/>
    </xf>
    <xf numFmtId="3" fontId="10" fillId="0" borderId="657" xfId="181" applyNumberFormat="1" applyFont="1" applyFill="1" applyBorder="1" applyAlignment="1" applyProtection="1">
      <alignment horizontal="right" vertical="center"/>
      <protection locked="0"/>
    </xf>
    <xf numFmtId="49" fontId="15" fillId="16" borderId="656" xfId="181" applyNumberFormat="1" applyFont="1" applyFill="1" applyBorder="1" applyAlignment="1" applyProtection="1">
      <alignment horizontal="left" vertical="center" wrapText="1"/>
      <protection locked="0"/>
    </xf>
    <xf numFmtId="10" fontId="10" fillId="0" borderId="658" xfId="177" applyNumberFormat="1" applyFont="1" applyFill="1" applyBorder="1" applyAlignment="1" applyProtection="1">
      <alignment horizontal="right" vertical="center"/>
      <protection locked="0"/>
    </xf>
    <xf numFmtId="10" fontId="10" fillId="0" borderId="659" xfId="177" applyNumberFormat="1" applyFont="1" applyFill="1" applyBorder="1" applyAlignment="1" applyProtection="1">
      <alignment horizontal="right" vertical="center"/>
      <protection locked="0"/>
    </xf>
    <xf numFmtId="3" fontId="57" fillId="2" borderId="50" xfId="181" applyNumberFormat="1" applyFont="1" applyFill="1" applyBorder="1" applyAlignment="1" applyProtection="1">
      <alignment horizontal="right" vertical="center"/>
      <protection locked="0"/>
    </xf>
    <xf numFmtId="3" fontId="57" fillId="2" borderId="51" xfId="181" applyNumberFormat="1" applyFont="1" applyFill="1" applyBorder="1" applyAlignment="1" applyProtection="1">
      <alignment horizontal="right" vertical="center"/>
      <protection locked="0"/>
    </xf>
    <xf numFmtId="3" fontId="57" fillId="2" borderId="293" xfId="181" applyNumberFormat="1" applyFont="1" applyFill="1" applyBorder="1" applyAlignment="1" applyProtection="1">
      <alignment horizontal="right" vertical="center"/>
      <protection locked="0"/>
    </xf>
    <xf numFmtId="3" fontId="10" fillId="2" borderId="547" xfId="181" applyNumberFormat="1" applyFont="1" applyFill="1" applyBorder="1" applyAlignment="1" applyProtection="1">
      <alignment horizontal="right" vertical="center"/>
      <protection locked="0"/>
    </xf>
    <xf numFmtId="3" fontId="10" fillId="2" borderId="41" xfId="181" applyNumberFormat="1" applyFont="1" applyFill="1" applyBorder="1" applyAlignment="1" applyProtection="1">
      <alignment horizontal="right" vertical="center"/>
      <protection locked="0"/>
    </xf>
    <xf numFmtId="3" fontId="10" fillId="2" borderId="563" xfId="181" applyNumberFormat="1" applyFont="1" applyFill="1" applyBorder="1" applyAlignment="1" applyProtection="1">
      <alignment horizontal="right" vertical="center"/>
      <protection locked="0"/>
    </xf>
    <xf numFmtId="10" fontId="40" fillId="0" borderId="661" xfId="177" applyNumberFormat="1" applyFont="1" applyFill="1" applyBorder="1" applyAlignment="1" applyProtection="1">
      <alignment horizontal="right" vertical="center"/>
      <protection locked="0"/>
    </xf>
    <xf numFmtId="49" fontId="10" fillId="21" borderId="662" xfId="181" applyNumberFormat="1" applyFont="1" applyFill="1" applyBorder="1" applyAlignment="1" applyProtection="1">
      <alignment horizontal="center" vertical="center" wrapText="1"/>
      <protection locked="0"/>
    </xf>
    <xf numFmtId="49" fontId="10" fillId="21" borderId="21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652" xfId="181" applyNumberFormat="1" applyFont="1" applyFill="1" applyBorder="1" applyAlignment="1" applyProtection="1">
      <alignment horizontal="right" vertical="center"/>
      <protection locked="0"/>
    </xf>
    <xf numFmtId="3" fontId="10" fillId="0" borderId="654" xfId="181" applyNumberFormat="1" applyFont="1" applyFill="1" applyBorder="1" applyAlignment="1" applyProtection="1">
      <alignment horizontal="right" vertical="center"/>
      <protection locked="0"/>
    </xf>
    <xf numFmtId="49" fontId="10" fillId="16" borderId="663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664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649" xfId="181" applyNumberFormat="1" applyFont="1" applyFill="1" applyBorder="1" applyAlignment="1" applyProtection="1">
      <alignment horizontal="right" vertical="center"/>
      <protection locked="0"/>
    </xf>
    <xf numFmtId="3" fontId="10" fillId="0" borderId="650" xfId="181" applyNumberFormat="1" applyFont="1" applyFill="1" applyBorder="1" applyAlignment="1" applyProtection="1">
      <alignment horizontal="right" vertical="center"/>
      <protection locked="0"/>
    </xf>
    <xf numFmtId="10" fontId="40" fillId="0" borderId="653" xfId="177" applyNumberFormat="1" applyFont="1" applyFill="1" applyBorder="1" applyAlignment="1" applyProtection="1">
      <alignment horizontal="right" vertical="center"/>
      <protection locked="0"/>
    </xf>
    <xf numFmtId="3" fontId="40" fillId="0" borderId="652" xfId="181" applyNumberFormat="1" applyFont="1" applyFill="1" applyBorder="1" applyAlignment="1" applyProtection="1">
      <alignment horizontal="right" vertical="center"/>
      <protection locked="0"/>
    </xf>
    <xf numFmtId="3" fontId="40" fillId="0" borderId="653" xfId="181" applyNumberFormat="1" applyFont="1" applyFill="1" applyBorder="1" applyAlignment="1" applyProtection="1">
      <alignment horizontal="right" vertical="center"/>
      <protection locked="0"/>
    </xf>
    <xf numFmtId="3" fontId="40" fillId="0" borderId="654" xfId="181" applyNumberFormat="1" applyFont="1" applyFill="1" applyBorder="1" applyAlignment="1" applyProtection="1">
      <alignment horizontal="right" vertical="center"/>
      <protection locked="0"/>
    </xf>
    <xf numFmtId="3" fontId="27" fillId="0" borderId="652" xfId="181" applyNumberFormat="1" applyFont="1" applyFill="1" applyBorder="1" applyAlignment="1" applyProtection="1">
      <alignment horizontal="right" vertical="center"/>
      <protection locked="0"/>
    </xf>
    <xf numFmtId="3" fontId="27" fillId="0" borderId="653" xfId="181" applyNumberFormat="1" applyFont="1" applyFill="1" applyBorder="1" applyAlignment="1" applyProtection="1">
      <alignment horizontal="right" vertical="center"/>
      <protection locked="0"/>
    </xf>
    <xf numFmtId="3" fontId="27" fillId="0" borderId="654" xfId="181" applyNumberFormat="1" applyFont="1" applyFill="1" applyBorder="1" applyAlignment="1" applyProtection="1">
      <alignment horizontal="right" vertical="center"/>
      <protection locked="0"/>
    </xf>
    <xf numFmtId="3" fontId="15" fillId="0" borderId="652" xfId="181" applyNumberFormat="1" applyFont="1" applyFill="1" applyBorder="1" applyAlignment="1" applyProtection="1">
      <alignment horizontal="right" vertical="center"/>
      <protection locked="0"/>
    </xf>
    <xf numFmtId="3" fontId="15" fillId="0" borderId="653" xfId="181" applyNumberFormat="1" applyFont="1" applyFill="1" applyBorder="1" applyAlignment="1" applyProtection="1">
      <alignment horizontal="right" vertical="center"/>
      <protection locked="0"/>
    </xf>
    <xf numFmtId="3" fontId="15" fillId="0" borderId="654" xfId="181" applyNumberFormat="1" applyFont="1" applyFill="1" applyBorder="1" applyAlignment="1" applyProtection="1">
      <alignment horizontal="right" vertical="center"/>
      <protection locked="0"/>
    </xf>
    <xf numFmtId="10" fontId="15" fillId="0" borderId="653" xfId="177" applyNumberFormat="1" applyFont="1" applyFill="1" applyBorder="1" applyAlignment="1" applyProtection="1">
      <alignment horizontal="right" vertical="center"/>
      <protection locked="0"/>
    </xf>
    <xf numFmtId="49" fontId="15" fillId="16" borderId="665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666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667" xfId="181" applyNumberFormat="1" applyFont="1" applyFill="1" applyBorder="1" applyAlignment="1" applyProtection="1">
      <alignment horizontal="right" vertical="center"/>
      <protection locked="0"/>
    </xf>
    <xf numFmtId="3" fontId="15" fillId="0" borderId="657" xfId="181" applyNumberFormat="1" applyFont="1" applyFill="1" applyBorder="1" applyAlignment="1" applyProtection="1">
      <alignment horizontal="right" vertical="center"/>
      <protection locked="0"/>
    </xf>
    <xf numFmtId="10" fontId="27" fillId="0" borderId="653" xfId="177" applyNumberFormat="1" applyFont="1" applyFill="1" applyBorder="1" applyAlignment="1" applyProtection="1">
      <alignment horizontal="right" vertical="center"/>
      <protection locked="0"/>
    </xf>
    <xf numFmtId="49" fontId="15" fillId="16" borderId="663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664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649" xfId="181" applyNumberFormat="1" applyFont="1" applyFill="1" applyBorder="1" applyAlignment="1" applyProtection="1">
      <alignment horizontal="right" vertical="center"/>
      <protection locked="0"/>
    </xf>
    <xf numFmtId="49" fontId="10" fillId="16" borderId="670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671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667" xfId="181" applyNumberFormat="1" applyFont="1" applyFill="1" applyBorder="1" applyAlignment="1" applyProtection="1">
      <alignment horizontal="right" vertical="center"/>
      <protection locked="0"/>
    </xf>
    <xf numFmtId="3" fontId="44" fillId="0" borderId="652" xfId="181" applyNumberFormat="1" applyFont="1" applyFill="1" applyBorder="1" applyAlignment="1" applyProtection="1">
      <alignment horizontal="right" vertical="center"/>
      <protection locked="0"/>
    </xf>
    <xf numFmtId="3" fontId="53" fillId="0" borderId="653" xfId="181" applyNumberFormat="1" applyFont="1" applyFill="1" applyBorder="1" applyAlignment="1" applyProtection="1">
      <alignment horizontal="right" vertical="center"/>
      <protection locked="0"/>
    </xf>
    <xf numFmtId="3" fontId="53" fillId="0" borderId="657" xfId="181" applyNumberFormat="1" applyFont="1" applyFill="1" applyBorder="1" applyAlignment="1" applyProtection="1">
      <alignment horizontal="right" vertical="center"/>
      <protection locked="0"/>
    </xf>
    <xf numFmtId="10" fontId="53" fillId="0" borderId="653" xfId="177" applyNumberFormat="1" applyFont="1" applyFill="1" applyBorder="1" applyAlignment="1" applyProtection="1">
      <alignment horizontal="right" vertical="center"/>
      <protection locked="0"/>
    </xf>
    <xf numFmtId="3" fontId="53" fillId="0" borderId="652" xfId="181" applyNumberFormat="1" applyFont="1" applyFill="1" applyBorder="1" applyAlignment="1" applyProtection="1">
      <alignment horizontal="right" vertical="center"/>
      <protection locked="0"/>
    </xf>
    <xf numFmtId="49" fontId="53" fillId="16" borderId="663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664" xfId="181" applyNumberFormat="1" applyFont="1" applyFill="1" applyBorder="1" applyAlignment="1" applyProtection="1">
      <alignment horizontal="left" vertical="center" wrapText="1"/>
      <protection locked="0"/>
    </xf>
    <xf numFmtId="3" fontId="53" fillId="0" borderId="649" xfId="181" applyNumberFormat="1" applyFont="1" applyFill="1" applyBorder="1" applyAlignment="1" applyProtection="1">
      <alignment horizontal="right" vertical="center"/>
      <protection locked="0"/>
    </xf>
    <xf numFmtId="10" fontId="53" fillId="0" borderId="659" xfId="177" applyNumberFormat="1" applyFont="1" applyFill="1" applyBorder="1" applyAlignment="1" applyProtection="1">
      <alignment horizontal="right" vertical="center"/>
      <protection locked="0"/>
    </xf>
    <xf numFmtId="3" fontId="40" fillId="0" borderId="293" xfId="181" applyNumberFormat="1" applyFont="1" applyFill="1" applyBorder="1" applyAlignment="1" applyProtection="1">
      <alignment horizontal="right" vertical="center"/>
      <protection locked="0"/>
    </xf>
    <xf numFmtId="3" fontId="10" fillId="0" borderId="375" xfId="181" applyNumberFormat="1" applyFont="1" applyFill="1" applyBorder="1" applyAlignment="1" applyProtection="1">
      <alignment horizontal="right" vertical="center"/>
      <protection locked="0"/>
    </xf>
    <xf numFmtId="3" fontId="10" fillId="0" borderId="658" xfId="181" applyNumberFormat="1" applyFont="1" applyFill="1" applyBorder="1" applyAlignment="1" applyProtection="1">
      <alignment horizontal="right" vertical="center"/>
      <protection locked="0"/>
    </xf>
    <xf numFmtId="3" fontId="10" fillId="0" borderId="674" xfId="181" applyNumberFormat="1" applyFont="1" applyFill="1" applyBorder="1" applyAlignment="1" applyProtection="1">
      <alignment horizontal="right" vertical="center"/>
      <protection locked="0"/>
    </xf>
    <xf numFmtId="10" fontId="10" fillId="0" borderId="661" xfId="177" applyNumberFormat="1" applyFont="1" applyFill="1" applyBorder="1" applyAlignment="1" applyProtection="1">
      <alignment horizontal="right" vertical="center"/>
      <protection locked="0"/>
    </xf>
    <xf numFmtId="3" fontId="59" fillId="0" borderId="375" xfId="181" applyNumberFormat="1" applyFont="1" applyFill="1" applyBorder="1" applyAlignment="1" applyProtection="1">
      <alignment horizontal="right" vertical="center"/>
      <protection locked="0"/>
    </xf>
    <xf numFmtId="3" fontId="59" fillId="0" borderId="658" xfId="181" applyNumberFormat="1" applyFont="1" applyFill="1" applyBorder="1" applyAlignment="1" applyProtection="1">
      <alignment horizontal="right" vertical="center"/>
      <protection locked="0"/>
    </xf>
    <xf numFmtId="3" fontId="59" fillId="0" borderId="674" xfId="181" applyNumberFormat="1" applyFont="1" applyFill="1" applyBorder="1" applyAlignment="1" applyProtection="1">
      <alignment horizontal="right" vertical="center"/>
      <protection locked="0"/>
    </xf>
    <xf numFmtId="10" fontId="59" fillId="0" borderId="661" xfId="177" applyNumberFormat="1" applyFont="1" applyFill="1" applyBorder="1" applyAlignment="1" applyProtection="1">
      <alignment horizontal="right" vertical="center"/>
      <protection locked="0"/>
    </xf>
    <xf numFmtId="49" fontId="10" fillId="16" borderId="672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673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661" xfId="181" applyNumberFormat="1" applyFont="1" applyFill="1" applyBorder="1" applyAlignment="1" applyProtection="1">
      <alignment horizontal="right" vertical="center"/>
      <protection locked="0"/>
    </xf>
    <xf numFmtId="49" fontId="10" fillId="0" borderId="672" xfId="181" applyNumberFormat="1" applyFont="1" applyFill="1" applyBorder="1" applyAlignment="1" applyProtection="1">
      <alignment horizontal="center" vertical="center" wrapText="1"/>
      <protection locked="0"/>
    </xf>
    <xf numFmtId="49" fontId="10" fillId="0" borderId="675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676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677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678" xfId="181" applyNumberFormat="1" applyFont="1" applyFill="1" applyBorder="1" applyAlignment="1" applyProtection="1">
      <alignment horizontal="right" vertical="center"/>
      <protection locked="0"/>
    </xf>
    <xf numFmtId="3" fontId="10" fillId="0" borderId="679" xfId="181" applyNumberFormat="1" applyFont="1" applyFill="1" applyBorder="1" applyAlignment="1" applyProtection="1">
      <alignment horizontal="right" vertical="center"/>
      <protection locked="0"/>
    </xf>
    <xf numFmtId="49" fontId="10" fillId="0" borderId="680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681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682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683" xfId="181" applyNumberFormat="1" applyFont="1" applyFill="1" applyBorder="1" applyAlignment="1" applyProtection="1">
      <alignment horizontal="right" vertical="center"/>
      <protection locked="0"/>
    </xf>
    <xf numFmtId="3" fontId="10" fillId="0" borderId="684" xfId="181" applyNumberFormat="1" applyFont="1" applyFill="1" applyBorder="1" applyAlignment="1" applyProtection="1">
      <alignment horizontal="right" vertical="center"/>
      <protection locked="0"/>
    </xf>
    <xf numFmtId="3" fontId="10" fillId="0" borderId="685" xfId="181" applyNumberFormat="1" applyFont="1" applyFill="1" applyBorder="1" applyAlignment="1" applyProtection="1">
      <alignment horizontal="right" vertical="center"/>
      <protection locked="0"/>
    </xf>
    <xf numFmtId="3" fontId="10" fillId="0" borderId="659" xfId="181" applyNumberFormat="1" applyFont="1" applyFill="1" applyBorder="1" applyAlignment="1" applyProtection="1">
      <alignment horizontal="right" vertical="center"/>
      <protection locked="0"/>
    </xf>
    <xf numFmtId="49" fontId="10" fillId="16" borderId="680" xfId="181" applyNumberFormat="1" applyFont="1" applyFill="1" applyBorder="1" applyAlignment="1" applyProtection="1">
      <alignment horizontal="center" vertical="center" wrapText="1"/>
      <protection locked="0"/>
    </xf>
    <xf numFmtId="3" fontId="10" fillId="0" borderId="45" xfId="181" applyNumberFormat="1" applyFont="1" applyFill="1" applyBorder="1" applyAlignment="1" applyProtection="1">
      <alignment horizontal="right" vertical="center"/>
      <protection locked="0"/>
    </xf>
    <xf numFmtId="49" fontId="10" fillId="0" borderId="688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34" xfId="181" applyNumberFormat="1" applyFont="1" applyFill="1" applyBorder="1" applyAlignment="1" applyProtection="1">
      <alignment vertical="center" wrapText="1"/>
      <protection locked="0"/>
    </xf>
    <xf numFmtId="49" fontId="10" fillId="16" borderId="647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501" xfId="181" applyNumberFormat="1" applyFont="1" applyFill="1" applyBorder="1" applyAlignment="1" applyProtection="1">
      <alignment horizontal="left" vertical="center" wrapText="1"/>
      <protection locked="0"/>
    </xf>
    <xf numFmtId="49" fontId="54" fillId="19" borderId="395" xfId="181" applyNumberFormat="1" applyFont="1" applyFill="1" applyBorder="1" applyAlignment="1" applyProtection="1">
      <alignment horizontal="left" vertical="center" wrapText="1"/>
      <protection locked="0"/>
    </xf>
    <xf numFmtId="3" fontId="44" fillId="0" borderId="52" xfId="181" applyNumberFormat="1" applyFont="1" applyFill="1" applyBorder="1" applyAlignment="1" applyProtection="1">
      <alignment horizontal="right" vertical="center"/>
      <protection locked="0"/>
    </xf>
    <xf numFmtId="3" fontId="53" fillId="0" borderId="679" xfId="181" applyNumberFormat="1" applyFont="1" applyFill="1" applyBorder="1" applyAlignment="1" applyProtection="1">
      <alignment horizontal="right" vertical="center"/>
      <protection locked="0"/>
    </xf>
    <xf numFmtId="3" fontId="53" fillId="0" borderId="685" xfId="181" applyNumberFormat="1" applyFont="1" applyFill="1" applyBorder="1" applyAlignment="1" applyProtection="1">
      <alignment horizontal="right" vertical="center"/>
      <protection locked="0"/>
    </xf>
    <xf numFmtId="49" fontId="53" fillId="16" borderId="689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690" xfId="181" applyNumberFormat="1" applyFont="1" applyFill="1" applyBorder="1" applyAlignment="1" applyProtection="1">
      <alignment horizontal="left" vertical="center" wrapText="1"/>
      <protection locked="0"/>
    </xf>
    <xf numFmtId="3" fontId="53" fillId="0" borderId="683" xfId="181" applyNumberFormat="1" applyFont="1" applyFill="1" applyBorder="1" applyAlignment="1" applyProtection="1">
      <alignment horizontal="right" vertical="center"/>
      <protection locked="0"/>
    </xf>
    <xf numFmtId="3" fontId="53" fillId="0" borderId="684" xfId="181" applyNumberFormat="1" applyFont="1" applyFill="1" applyBorder="1" applyAlignment="1" applyProtection="1">
      <alignment horizontal="right" vertical="center"/>
      <protection locked="0"/>
    </xf>
    <xf numFmtId="10" fontId="53" fillId="0" borderId="691" xfId="177" applyNumberFormat="1" applyFont="1" applyFill="1" applyBorder="1" applyAlignment="1" applyProtection="1">
      <alignment horizontal="right" vertical="center"/>
      <protection locked="0"/>
    </xf>
    <xf numFmtId="3" fontId="10" fillId="0" borderId="691" xfId="181" applyNumberFormat="1" applyFont="1" applyFill="1" applyBorder="1" applyAlignment="1" applyProtection="1">
      <alignment horizontal="right" vertical="center"/>
      <protection locked="0"/>
    </xf>
    <xf numFmtId="3" fontId="10" fillId="0" borderId="695" xfId="181" applyNumberFormat="1" applyFont="1" applyFill="1" applyBorder="1" applyAlignment="1" applyProtection="1">
      <alignment horizontal="right" vertical="center"/>
      <protection locked="0"/>
    </xf>
    <xf numFmtId="49" fontId="10" fillId="16" borderId="696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697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698" xfId="181" applyNumberFormat="1" applyFont="1" applyFill="1" applyBorder="1" applyAlignment="1" applyProtection="1">
      <alignment horizontal="center" vertical="center" wrapText="1"/>
      <protection locked="0"/>
    </xf>
    <xf numFmtId="49" fontId="27" fillId="17" borderId="699" xfId="181" applyNumberFormat="1" applyFont="1" applyFill="1" applyBorder="1" applyAlignment="1" applyProtection="1">
      <alignment horizontal="left" vertical="center" wrapText="1"/>
      <protection locked="0"/>
    </xf>
    <xf numFmtId="3" fontId="53" fillId="0" borderId="0" xfId="181" applyNumberFormat="1" applyFont="1" applyFill="1" applyBorder="1" applyAlignment="1" applyProtection="1">
      <alignment horizontal="left" vertical="center"/>
      <protection locked="0"/>
    </xf>
    <xf numFmtId="3" fontId="27" fillId="0" borderId="482" xfId="181" applyNumberFormat="1" applyFont="1" applyFill="1" applyBorder="1" applyAlignment="1" applyProtection="1">
      <alignment horizontal="right" vertical="center"/>
      <protection locked="0"/>
    </xf>
    <xf numFmtId="3" fontId="27" fillId="0" borderId="700" xfId="181" applyNumberFormat="1" applyFont="1" applyFill="1" applyBorder="1" applyAlignment="1" applyProtection="1">
      <alignment horizontal="right" vertical="center"/>
      <protection locked="0"/>
    </xf>
    <xf numFmtId="3" fontId="15" fillId="0" borderId="702" xfId="181" applyNumberFormat="1" applyFont="1" applyFill="1" applyBorder="1" applyAlignment="1" applyProtection="1">
      <alignment horizontal="right" vertical="center"/>
      <protection locked="0"/>
    </xf>
    <xf numFmtId="3" fontId="15" fillId="0" borderId="703" xfId="181" applyNumberFormat="1" applyFont="1" applyFill="1" applyBorder="1" applyAlignment="1" applyProtection="1">
      <alignment horizontal="right" vertical="center"/>
      <protection locked="0"/>
    </xf>
    <xf numFmtId="3" fontId="48" fillId="0" borderId="706" xfId="181" applyNumberFormat="1" applyFont="1" applyFill="1" applyBorder="1" applyAlignment="1" applyProtection="1">
      <alignment horizontal="right" vertical="center"/>
      <protection locked="0"/>
    </xf>
    <xf numFmtId="3" fontId="48" fillId="0" borderId="653" xfId="181" applyNumberFormat="1" applyFont="1" applyFill="1" applyBorder="1" applyAlignment="1" applyProtection="1">
      <alignment horizontal="right" vertical="center"/>
      <protection locked="0"/>
    </xf>
    <xf numFmtId="3" fontId="48" fillId="0" borderId="707" xfId="181" applyNumberFormat="1" applyFont="1" applyFill="1" applyBorder="1" applyAlignment="1" applyProtection="1">
      <alignment horizontal="right" vertical="center"/>
      <protection locked="0"/>
    </xf>
    <xf numFmtId="10" fontId="48" fillId="0" borderId="653" xfId="177" applyNumberFormat="1" applyFont="1" applyFill="1" applyBorder="1" applyAlignment="1" applyProtection="1">
      <alignment horizontal="right" vertical="center"/>
      <protection locked="0"/>
    </xf>
    <xf numFmtId="49" fontId="15" fillId="16" borderId="708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709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710" xfId="181" applyNumberFormat="1" applyFont="1" applyFill="1" applyBorder="1" applyAlignment="1" applyProtection="1">
      <alignment horizontal="right" vertical="center"/>
      <protection locked="0"/>
    </xf>
    <xf numFmtId="3" fontId="15" fillId="0" borderId="711" xfId="181" applyNumberFormat="1" applyFont="1" applyFill="1" applyBorder="1" applyAlignment="1" applyProtection="1">
      <alignment horizontal="right" vertical="center"/>
      <protection locked="0"/>
    </xf>
    <xf numFmtId="49" fontId="15" fillId="0" borderId="33" xfId="181" applyNumberFormat="1" applyFont="1" applyFill="1" applyBorder="1" applyAlignment="1" applyProtection="1">
      <alignment vertical="center" wrapText="1"/>
      <protection locked="0"/>
    </xf>
    <xf numFmtId="49" fontId="15" fillId="0" borderId="650" xfId="181" applyNumberFormat="1" applyFont="1" applyFill="1" applyBorder="1" applyAlignment="1" applyProtection="1">
      <alignment vertical="center" wrapText="1"/>
      <protection locked="0"/>
    </xf>
    <xf numFmtId="0" fontId="93" fillId="0" borderId="712" xfId="0" applyFont="1" applyBorder="1" applyAlignment="1">
      <alignment vertical="center" wrapText="1"/>
    </xf>
    <xf numFmtId="0" fontId="93" fillId="0" borderId="649" xfId="0" applyFont="1" applyBorder="1" applyAlignment="1">
      <alignment vertical="center" wrapText="1"/>
    </xf>
    <xf numFmtId="3" fontId="15" fillId="0" borderId="713" xfId="181" applyNumberFormat="1" applyFont="1" applyFill="1" applyBorder="1" applyAlignment="1" applyProtection="1">
      <alignment horizontal="right" vertical="center"/>
      <protection locked="0"/>
    </xf>
    <xf numFmtId="3" fontId="15" fillId="0" borderId="714" xfId="181" applyNumberFormat="1" applyFont="1" applyFill="1" applyBorder="1" applyAlignment="1" applyProtection="1">
      <alignment horizontal="right" vertical="center"/>
      <protection locked="0"/>
    </xf>
    <xf numFmtId="49" fontId="15" fillId="16" borderId="501" xfId="181" applyNumberFormat="1" applyFont="1" applyFill="1" applyBorder="1" applyAlignment="1" applyProtection="1">
      <alignment horizontal="left" vertical="center" wrapText="1"/>
      <protection locked="0"/>
    </xf>
    <xf numFmtId="49" fontId="27" fillId="17" borderId="427" xfId="181" applyNumberFormat="1" applyFont="1" applyFill="1" applyBorder="1" applyAlignment="1" applyProtection="1">
      <alignment horizontal="center" vertical="center" wrapText="1"/>
      <protection locked="0"/>
    </xf>
    <xf numFmtId="49" fontId="27" fillId="17" borderId="715" xfId="181" applyNumberFormat="1" applyFont="1" applyFill="1" applyBorder="1" applyAlignment="1" applyProtection="1">
      <alignment horizontal="left" vertical="center" wrapText="1"/>
      <protection locked="0"/>
    </xf>
    <xf numFmtId="3" fontId="47" fillId="0" borderId="482" xfId="181" applyNumberFormat="1" applyFont="1" applyFill="1" applyBorder="1" applyAlignment="1" applyProtection="1">
      <alignment horizontal="right" vertical="center"/>
      <protection locked="0"/>
    </xf>
    <xf numFmtId="3" fontId="47" fillId="0" borderId="41" xfId="181" applyNumberFormat="1" applyFont="1" applyFill="1" applyBorder="1" applyAlignment="1" applyProtection="1">
      <alignment horizontal="right" vertical="center"/>
      <protection locked="0"/>
    </xf>
    <xf numFmtId="3" fontId="47" fillId="0" borderId="454" xfId="181" applyNumberFormat="1" applyFont="1" applyFill="1" applyBorder="1" applyAlignment="1" applyProtection="1">
      <alignment horizontal="right" vertical="center"/>
      <protection locked="0"/>
    </xf>
    <xf numFmtId="3" fontId="15" fillId="0" borderId="706" xfId="181" applyNumberFormat="1" applyFont="1" applyFill="1" applyBorder="1" applyAlignment="1" applyProtection="1">
      <alignment horizontal="right" vertical="center"/>
      <protection locked="0"/>
    </xf>
    <xf numFmtId="3" fontId="15" fillId="0" borderId="707" xfId="181" applyNumberFormat="1" applyFont="1" applyFill="1" applyBorder="1" applyAlignment="1" applyProtection="1">
      <alignment horizontal="right" vertical="center"/>
      <protection locked="0"/>
    </xf>
    <xf numFmtId="49" fontId="15" fillId="16" borderId="716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717" xfId="181" applyNumberFormat="1" applyFont="1" applyFill="1" applyBorder="1" applyAlignment="1" applyProtection="1">
      <alignment horizontal="left" vertical="center" wrapText="1"/>
      <protection locked="0"/>
    </xf>
    <xf numFmtId="3" fontId="47" fillId="0" borderId="702" xfId="181" applyNumberFormat="1" applyFont="1" applyFill="1" applyBorder="1" applyAlignment="1" applyProtection="1">
      <alignment horizontal="right" vertical="center"/>
      <protection locked="0"/>
    </xf>
    <xf numFmtId="3" fontId="27" fillId="2" borderId="482" xfId="181" applyNumberFormat="1" applyFont="1" applyFill="1" applyBorder="1" applyAlignment="1" applyProtection="1">
      <alignment horizontal="right" vertical="center"/>
      <protection locked="0"/>
    </xf>
    <xf numFmtId="3" fontId="27" fillId="2" borderId="454" xfId="181" applyNumberFormat="1" applyFont="1" applyFill="1" applyBorder="1" applyAlignment="1" applyProtection="1">
      <alignment horizontal="right" vertical="center"/>
      <protection locked="0"/>
    </xf>
    <xf numFmtId="3" fontId="15" fillId="2" borderId="710" xfId="181" applyNumberFormat="1" applyFont="1" applyFill="1" applyBorder="1" applyAlignment="1" applyProtection="1">
      <alignment horizontal="right" vertical="center"/>
      <protection locked="0"/>
    </xf>
    <xf numFmtId="3" fontId="15" fillId="2" borderId="713" xfId="181" applyNumberFormat="1" applyFont="1" applyFill="1" applyBorder="1" applyAlignment="1" applyProtection="1">
      <alignment horizontal="right" vertical="center"/>
      <protection locked="0"/>
    </xf>
    <xf numFmtId="3" fontId="15" fillId="2" borderId="714" xfId="181" applyNumberFormat="1" applyFont="1" applyFill="1" applyBorder="1" applyAlignment="1" applyProtection="1">
      <alignment horizontal="right" vertical="center"/>
      <protection locked="0"/>
    </xf>
    <xf numFmtId="3" fontId="15" fillId="2" borderId="649" xfId="181" applyNumberFormat="1" applyFont="1" applyFill="1" applyBorder="1" applyAlignment="1" applyProtection="1">
      <alignment horizontal="right" vertical="center"/>
      <protection locked="0"/>
    </xf>
    <xf numFmtId="10" fontId="15" fillId="0" borderId="713" xfId="177" applyNumberFormat="1" applyFont="1" applyFill="1" applyBorder="1" applyAlignment="1" applyProtection="1">
      <alignment horizontal="right" vertical="center"/>
      <protection locked="0"/>
    </xf>
    <xf numFmtId="49" fontId="27" fillId="0" borderId="52" xfId="181" applyNumberFormat="1" applyFont="1" applyFill="1" applyBorder="1" applyAlignment="1" applyProtection="1">
      <alignment horizontal="center" vertical="center" wrapText="1"/>
      <protection locked="0"/>
    </xf>
    <xf numFmtId="3" fontId="48" fillId="0" borderId="702" xfId="181" applyNumberFormat="1" applyFont="1" applyFill="1" applyBorder="1" applyAlignment="1" applyProtection="1">
      <alignment horizontal="right" vertical="center"/>
      <protection locked="0"/>
    </xf>
    <xf numFmtId="49" fontId="15" fillId="16" borderId="718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719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720" xfId="181" applyNumberFormat="1" applyFont="1" applyFill="1" applyBorder="1" applyAlignment="1" applyProtection="1">
      <alignment horizontal="right" vertical="center"/>
      <protection locked="0"/>
    </xf>
    <xf numFmtId="3" fontId="15" fillId="0" borderId="684" xfId="181" applyNumberFormat="1" applyFont="1" applyFill="1" applyBorder="1" applyAlignment="1" applyProtection="1">
      <alignment horizontal="right" vertical="center"/>
      <protection locked="0"/>
    </xf>
    <xf numFmtId="49" fontId="15" fillId="16" borderId="721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690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482" xfId="181" applyNumberFormat="1" applyFont="1" applyFill="1" applyBorder="1" applyAlignment="1" applyProtection="1">
      <alignment vertical="center" wrapText="1"/>
      <protection locked="0"/>
    </xf>
    <xf numFmtId="3" fontId="48" fillId="0" borderId="454" xfId="181" applyNumberFormat="1" applyFont="1" applyFill="1" applyBorder="1" applyAlignment="1" applyProtection="1">
      <alignment horizontal="right" vertical="center"/>
      <protection locked="0"/>
    </xf>
    <xf numFmtId="10" fontId="48" fillId="0" borderId="722" xfId="177" applyNumberFormat="1" applyFont="1" applyFill="1" applyBorder="1" applyAlignment="1" applyProtection="1">
      <alignment horizontal="right" vertical="center"/>
      <protection locked="0"/>
    </xf>
    <xf numFmtId="3" fontId="48" fillId="0" borderId="720" xfId="181" applyNumberFormat="1" applyFont="1" applyFill="1" applyBorder="1" applyAlignment="1" applyProtection="1">
      <alignment horizontal="right" vertical="center"/>
      <protection locked="0"/>
    </xf>
    <xf numFmtId="49" fontId="15" fillId="16" borderId="723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724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725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726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727" xfId="181" applyNumberFormat="1" applyFont="1" applyFill="1" applyBorder="1" applyAlignment="1" applyProtection="1">
      <alignment horizontal="right" vertical="center"/>
      <protection locked="0"/>
    </xf>
    <xf numFmtId="3" fontId="15" fillId="0" borderId="683" xfId="181" applyNumberFormat="1" applyFont="1" applyFill="1" applyBorder="1" applyAlignment="1" applyProtection="1">
      <alignment horizontal="right" vertical="center"/>
      <protection locked="0"/>
    </xf>
    <xf numFmtId="49" fontId="53" fillId="16" borderId="720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684" xfId="181" applyNumberFormat="1" applyFont="1" applyFill="1" applyBorder="1" applyAlignment="1" applyProtection="1">
      <alignment horizontal="left" vertical="center" wrapText="1"/>
      <protection locked="0"/>
    </xf>
    <xf numFmtId="3" fontId="53" fillId="0" borderId="720" xfId="181" applyNumberFormat="1" applyFont="1" applyFill="1" applyBorder="1" applyAlignment="1" applyProtection="1">
      <alignment horizontal="right" vertical="center"/>
      <protection locked="0"/>
    </xf>
    <xf numFmtId="3" fontId="44" fillId="0" borderId="720" xfId="181" applyNumberFormat="1" applyFont="1" applyFill="1" applyBorder="1" applyAlignment="1" applyProtection="1">
      <alignment vertical="center"/>
      <protection locked="0"/>
    </xf>
    <xf numFmtId="3" fontId="53" fillId="0" borderId="720" xfId="181" applyNumberFormat="1" applyFont="1" applyFill="1" applyBorder="1" applyAlignment="1" applyProtection="1">
      <alignment vertical="center"/>
      <protection locked="0"/>
    </xf>
    <xf numFmtId="49" fontId="53" fillId="16" borderId="708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723" xfId="181" applyNumberFormat="1" applyFont="1" applyFill="1" applyBorder="1" applyAlignment="1" applyProtection="1">
      <alignment horizontal="left" vertical="center" wrapText="1"/>
      <protection locked="0"/>
    </xf>
    <xf numFmtId="3" fontId="53" fillId="0" borderId="683" xfId="181" applyNumberFormat="1" applyFont="1" applyFill="1" applyBorder="1" applyAlignment="1" applyProtection="1">
      <alignment vertical="center"/>
      <protection locked="0"/>
    </xf>
    <xf numFmtId="10" fontId="27" fillId="0" borderId="722" xfId="177" applyNumberFormat="1" applyFont="1" applyFill="1" applyBorder="1" applyAlignment="1" applyProtection="1">
      <alignment horizontal="right" vertical="center"/>
      <protection locked="0"/>
    </xf>
    <xf numFmtId="3" fontId="15" fillId="0" borderId="39" xfId="181" applyNumberFormat="1" applyFont="1" applyFill="1" applyBorder="1" applyAlignment="1" applyProtection="1">
      <alignment vertical="center"/>
      <protection locked="0"/>
    </xf>
    <xf numFmtId="3" fontId="15" fillId="0" borderId="49" xfId="181" applyNumberFormat="1" applyFont="1" applyFill="1" applyBorder="1" applyAlignment="1" applyProtection="1">
      <alignment vertical="center"/>
      <protection locked="0"/>
    </xf>
    <xf numFmtId="10" fontId="15" fillId="0" borderId="722" xfId="177" applyNumberFormat="1" applyFont="1" applyFill="1" applyBorder="1" applyAlignment="1" applyProtection="1">
      <alignment horizontal="right" vertical="center"/>
      <protection locked="0"/>
    </xf>
    <xf numFmtId="49" fontId="15" fillId="16" borderId="698" xfId="181" applyNumberFormat="1" applyFont="1" applyFill="1" applyBorder="1" applyAlignment="1" applyProtection="1">
      <alignment horizontal="center" vertical="center" wrapText="1"/>
      <protection locked="0"/>
    </xf>
    <xf numFmtId="2" fontId="15" fillId="0" borderId="701" xfId="181" applyNumberFormat="1" applyFont="1" applyFill="1" applyBorder="1" applyAlignment="1" applyProtection="1">
      <alignment horizontal="left" vertical="center" wrapText="1"/>
      <protection locked="0"/>
    </xf>
    <xf numFmtId="3" fontId="44" fillId="0" borderId="77" xfId="181" applyNumberFormat="1" applyFont="1" applyFill="1" applyBorder="1" applyAlignment="1" applyProtection="1">
      <alignment horizontal="right" vertical="center"/>
      <protection locked="0"/>
    </xf>
    <xf numFmtId="3" fontId="53" fillId="0" borderId="706" xfId="181" applyNumberFormat="1" applyFont="1" applyFill="1" applyBorder="1" applyAlignment="1" applyProtection="1">
      <alignment horizontal="right" vertical="center"/>
      <protection locked="0"/>
    </xf>
    <xf numFmtId="3" fontId="53" fillId="0" borderId="722" xfId="181" applyNumberFormat="1" applyFont="1" applyFill="1" applyBorder="1" applyAlignment="1" applyProtection="1">
      <alignment horizontal="right" vertical="center"/>
      <protection locked="0"/>
    </xf>
    <xf numFmtId="10" fontId="53" fillId="0" borderId="722" xfId="177" applyNumberFormat="1" applyFont="1" applyFill="1" applyBorder="1" applyAlignment="1" applyProtection="1">
      <alignment horizontal="right" vertical="center"/>
      <protection locked="0"/>
    </xf>
    <xf numFmtId="3" fontId="52" fillId="0" borderId="720" xfId="181" applyNumberFormat="1" applyFont="1" applyFill="1" applyBorder="1" applyAlignment="1" applyProtection="1">
      <alignment horizontal="right" vertical="center"/>
      <protection locked="0"/>
    </xf>
    <xf numFmtId="49" fontId="53" fillId="16" borderId="718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719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77" xfId="181" applyNumberFormat="1" applyFont="1" applyFill="1" applyBorder="1" applyAlignment="1" applyProtection="1">
      <alignment vertical="center" wrapText="1"/>
      <protection locked="0"/>
    </xf>
    <xf numFmtId="49" fontId="53" fillId="16" borderId="472" xfId="181" applyNumberFormat="1" applyFont="1" applyFill="1" applyBorder="1" applyAlignment="1" applyProtection="1">
      <alignment vertical="center" wrapText="1"/>
      <protection locked="0"/>
    </xf>
    <xf numFmtId="3" fontId="53" fillId="0" borderId="77" xfId="181" applyNumberFormat="1" applyFont="1" applyFill="1" applyBorder="1" applyAlignment="1" applyProtection="1">
      <alignment horizontal="right" vertical="center"/>
      <protection locked="0"/>
    </xf>
    <xf numFmtId="49" fontId="53" fillId="16" borderId="696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697" xfId="181" applyNumberFormat="1" applyFont="1" applyFill="1" applyBorder="1" applyAlignment="1" applyProtection="1">
      <alignment horizontal="left" vertical="center" wrapText="1"/>
      <protection locked="0"/>
    </xf>
    <xf numFmtId="3" fontId="48" fillId="0" borderId="727" xfId="181" applyNumberFormat="1" applyFont="1" applyFill="1" applyBorder="1" applyAlignment="1" applyProtection="1">
      <alignment horizontal="right" vertical="center"/>
      <protection locked="0"/>
    </xf>
    <xf numFmtId="49" fontId="15" fillId="16" borderId="697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730" xfId="181" applyNumberFormat="1" applyFont="1" applyFill="1" applyBorder="1" applyAlignment="1" applyProtection="1">
      <alignment vertical="center" wrapText="1"/>
      <protection locked="0"/>
    </xf>
    <xf numFmtId="0" fontId="93" fillId="0" borderId="156" xfId="0" applyFont="1" applyBorder="1" applyAlignment="1">
      <alignment vertical="center"/>
    </xf>
    <xf numFmtId="0" fontId="93" fillId="0" borderId="730" xfId="0" applyFont="1" applyBorder="1" applyAlignment="1">
      <alignment vertical="center"/>
    </xf>
    <xf numFmtId="3" fontId="15" fillId="0" borderId="454" xfId="181" applyNumberFormat="1" applyFont="1" applyFill="1" applyBorder="1" applyAlignment="1" applyProtection="1">
      <alignment horizontal="right" vertical="center"/>
      <protection locked="0"/>
    </xf>
    <xf numFmtId="3" fontId="27" fillId="0" borderId="547" xfId="181" applyNumberFormat="1" applyFont="1" applyFill="1" applyBorder="1" applyAlignment="1" applyProtection="1">
      <alignment horizontal="right" vertical="center"/>
      <protection locked="0"/>
    </xf>
    <xf numFmtId="3" fontId="27" fillId="0" borderId="563" xfId="181" applyNumberFormat="1" applyFont="1" applyFill="1" applyBorder="1" applyAlignment="1" applyProtection="1">
      <alignment horizontal="right" vertical="center"/>
      <protection locked="0"/>
    </xf>
    <xf numFmtId="0" fontId="15" fillId="0" borderId="720" xfId="181" applyNumberFormat="1" applyFont="1" applyFill="1" applyBorder="1" applyAlignment="1" applyProtection="1">
      <alignment vertical="center"/>
      <protection locked="0"/>
    </xf>
    <xf numFmtId="0" fontId="15" fillId="0" borderId="684" xfId="181" applyNumberFormat="1" applyFont="1" applyFill="1" applyBorder="1" applyAlignment="1" applyProtection="1">
      <alignment vertical="center"/>
      <protection locked="0"/>
    </xf>
    <xf numFmtId="3" fontId="48" fillId="0" borderId="547" xfId="181" applyNumberFormat="1" applyFont="1" applyFill="1" applyBorder="1" applyAlignment="1" applyProtection="1">
      <alignment horizontal="right" vertical="center"/>
      <protection locked="0"/>
    </xf>
    <xf numFmtId="3" fontId="48" fillId="0" borderId="563" xfId="181" applyNumberFormat="1" applyFont="1" applyFill="1" applyBorder="1" applyAlignment="1" applyProtection="1">
      <alignment horizontal="right" vertical="center"/>
      <protection locked="0"/>
    </xf>
    <xf numFmtId="49" fontId="15" fillId="16" borderId="555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546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547" xfId="181" applyNumberFormat="1" applyFont="1" applyFill="1" applyBorder="1" applyAlignment="1" applyProtection="1">
      <alignment horizontal="right" vertical="center"/>
      <protection locked="0"/>
    </xf>
    <xf numFmtId="49" fontId="53" fillId="16" borderId="721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731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557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720" xfId="181" applyNumberFormat="1" applyFont="1" applyFill="1" applyBorder="1" applyAlignment="1" applyProtection="1">
      <alignment vertical="center" wrapText="1"/>
      <protection locked="0"/>
    </xf>
    <xf numFmtId="49" fontId="15" fillId="16" borderId="684" xfId="181" applyNumberFormat="1" applyFont="1" applyFill="1" applyBorder="1" applyAlignment="1" applyProtection="1">
      <alignment vertical="center" wrapText="1"/>
      <protection locked="0"/>
    </xf>
    <xf numFmtId="3" fontId="15" fillId="16" borderId="571" xfId="181" applyNumberFormat="1" applyFont="1" applyFill="1" applyBorder="1" applyAlignment="1" applyProtection="1">
      <alignment horizontal="right" vertical="center" wrapText="1"/>
      <protection locked="0"/>
    </xf>
    <xf numFmtId="3" fontId="15" fillId="16" borderId="732" xfId="181" applyNumberFormat="1" applyFont="1" applyFill="1" applyBorder="1" applyAlignment="1" applyProtection="1">
      <alignment horizontal="right" vertical="center" wrapText="1"/>
      <protection locked="0"/>
    </xf>
    <xf numFmtId="3" fontId="15" fillId="16" borderId="572" xfId="181" applyNumberFormat="1" applyFont="1" applyFill="1" applyBorder="1" applyAlignment="1" applyProtection="1">
      <alignment horizontal="right" vertical="center" wrapText="1"/>
      <protection locked="0"/>
    </xf>
    <xf numFmtId="49" fontId="15" fillId="16" borderId="729" xfId="181" applyNumberFormat="1" applyFont="1" applyFill="1" applyBorder="1" applyAlignment="1" applyProtection="1">
      <alignment horizontal="left" vertical="center" wrapText="1"/>
      <protection locked="0"/>
    </xf>
    <xf numFmtId="3" fontId="15" fillId="16" borderId="693" xfId="181" applyNumberFormat="1" applyFont="1" applyFill="1" applyBorder="1" applyAlignment="1" applyProtection="1">
      <alignment horizontal="right" vertical="center" wrapText="1"/>
      <protection locked="0"/>
    </xf>
    <xf numFmtId="49" fontId="15" fillId="16" borderId="733" xfId="181" applyNumberFormat="1" applyFont="1" applyFill="1" applyBorder="1" applyAlignment="1" applyProtection="1">
      <alignment horizontal="left" vertical="center" wrapText="1"/>
      <protection locked="0"/>
    </xf>
    <xf numFmtId="0" fontId="15" fillId="0" borderId="546" xfId="181" applyNumberFormat="1" applyFont="1" applyFill="1" applyBorder="1" applyAlignment="1" applyProtection="1">
      <alignment horizontal="left" vertical="center"/>
      <protection locked="0"/>
    </xf>
    <xf numFmtId="49" fontId="15" fillId="16" borderId="725" xfId="181" applyNumberFormat="1" applyFont="1" applyFill="1" applyBorder="1" applyAlignment="1" applyProtection="1">
      <alignment horizontal="center" vertical="center" wrapText="1"/>
      <protection locked="0"/>
    </xf>
    <xf numFmtId="3" fontId="15" fillId="16" borderId="720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734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76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76" xfId="181" applyNumberFormat="1" applyFont="1" applyFill="1" applyBorder="1" applyAlignment="1" applyProtection="1">
      <alignment horizontal="left" vertical="center" wrapText="1"/>
      <protection locked="0"/>
    </xf>
    <xf numFmtId="10" fontId="15" fillId="0" borderId="691" xfId="177" applyNumberFormat="1" applyFont="1" applyFill="1" applyBorder="1" applyAlignment="1" applyProtection="1">
      <alignment horizontal="right" vertical="center"/>
      <protection locked="0"/>
    </xf>
    <xf numFmtId="49" fontId="15" fillId="16" borderId="735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736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50" xfId="181" applyNumberFormat="1" applyFont="1" applyFill="1" applyBorder="1" applyAlignment="1" applyProtection="1">
      <alignment horizontal="right" vertical="center"/>
      <protection locked="0"/>
    </xf>
    <xf numFmtId="49" fontId="15" fillId="0" borderId="718" xfId="181" applyNumberFormat="1" applyFont="1" applyFill="1" applyBorder="1" applyAlignment="1" applyProtection="1">
      <alignment horizontal="center" vertical="center" wrapText="1"/>
      <protection locked="0"/>
    </xf>
    <xf numFmtId="3" fontId="15" fillId="0" borderId="738" xfId="181" applyNumberFormat="1" applyFont="1" applyFill="1" applyBorder="1" applyAlignment="1" applyProtection="1">
      <alignment vertical="center"/>
      <protection locked="0"/>
    </xf>
    <xf numFmtId="3" fontId="15" fillId="0" borderId="739" xfId="181" applyNumberFormat="1" applyFont="1" applyFill="1" applyBorder="1" applyAlignment="1" applyProtection="1">
      <alignment vertical="center"/>
      <protection locked="0"/>
    </xf>
    <xf numFmtId="3" fontId="15" fillId="0" borderId="740" xfId="181" applyNumberFormat="1" applyFont="1" applyFill="1" applyBorder="1" applyAlignment="1" applyProtection="1">
      <alignment vertical="center"/>
      <protection locked="0"/>
    </xf>
    <xf numFmtId="49" fontId="15" fillId="16" borderId="741" xfId="181" applyNumberFormat="1" applyFont="1" applyFill="1" applyBorder="1" applyAlignment="1" applyProtection="1">
      <alignment horizontal="center" vertical="center" wrapText="1"/>
      <protection locked="0"/>
    </xf>
    <xf numFmtId="3" fontId="15" fillId="0" borderId="720" xfId="181" applyNumberFormat="1" applyFont="1" applyFill="1" applyBorder="1" applyAlignment="1" applyProtection="1">
      <alignment vertical="center"/>
      <protection locked="0"/>
    </xf>
    <xf numFmtId="49" fontId="53" fillId="16" borderId="532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563" xfId="181" applyNumberFormat="1" applyFont="1" applyFill="1" applyBorder="1" applyAlignment="1" applyProtection="1">
      <alignment horizontal="right" vertical="center"/>
      <protection locked="0"/>
    </xf>
    <xf numFmtId="49" fontId="15" fillId="0" borderId="742" xfId="181" applyNumberFormat="1" applyFont="1" applyFill="1" applyBorder="1" applyAlignment="1" applyProtection="1">
      <alignment horizontal="center" vertical="center" wrapText="1"/>
      <protection locked="0"/>
    </xf>
    <xf numFmtId="0" fontId="15" fillId="16" borderId="743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744" xfId="181" applyNumberFormat="1" applyFont="1" applyFill="1" applyBorder="1" applyAlignment="1" applyProtection="1">
      <alignment horizontal="right" vertical="center"/>
      <protection locked="0"/>
    </xf>
    <xf numFmtId="3" fontId="15" fillId="0" borderId="745" xfId="181" applyNumberFormat="1" applyFont="1" applyFill="1" applyBorder="1" applyAlignment="1" applyProtection="1">
      <alignment horizontal="right" vertical="center"/>
      <protection locked="0"/>
    </xf>
    <xf numFmtId="49" fontId="15" fillId="0" borderId="746" xfId="181" applyNumberFormat="1" applyFont="1" applyFill="1" applyBorder="1" applyAlignment="1" applyProtection="1">
      <alignment horizontal="center" vertical="center" wrapText="1"/>
      <protection locked="0"/>
    </xf>
    <xf numFmtId="49" fontId="15" fillId="0" borderId="747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743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748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749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750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751" xfId="181" applyNumberFormat="1" applyFont="1" applyFill="1" applyBorder="1" applyAlignment="1" applyProtection="1">
      <alignment horizontal="right" vertical="center"/>
      <protection locked="0"/>
    </xf>
    <xf numFmtId="49" fontId="15" fillId="16" borderId="752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753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754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755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727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756" xfId="182" applyNumberFormat="1" applyFont="1" applyBorder="1" applyAlignment="1">
      <alignment horizontal="right" vertical="center"/>
    </xf>
    <xf numFmtId="49" fontId="15" fillId="16" borderId="757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758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759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760" xfId="181" applyNumberFormat="1" applyFont="1" applyFill="1" applyBorder="1" applyAlignment="1" applyProtection="1">
      <alignment horizontal="right" vertical="center"/>
      <protection locked="0"/>
    </xf>
    <xf numFmtId="49" fontId="15" fillId="0" borderId="755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761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762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751" xfId="181" applyNumberFormat="1" applyFont="1" applyFill="1" applyBorder="1" applyAlignment="1" applyProtection="1">
      <alignment vertical="center" wrapText="1"/>
      <protection locked="0"/>
    </xf>
    <xf numFmtId="49" fontId="15" fillId="16" borderId="745" xfId="181" applyNumberFormat="1" applyFont="1" applyFill="1" applyBorder="1" applyAlignment="1" applyProtection="1">
      <alignment vertical="center" wrapText="1"/>
      <protection locked="0"/>
    </xf>
    <xf numFmtId="3" fontId="27" fillId="0" borderId="571" xfId="181" applyNumberFormat="1" applyFont="1" applyFill="1" applyBorder="1" applyAlignment="1" applyProtection="1">
      <alignment horizontal="right" vertical="center"/>
      <protection locked="0"/>
    </xf>
    <xf numFmtId="3" fontId="27" fillId="0" borderId="732" xfId="181" applyNumberFormat="1" applyFont="1" applyFill="1" applyBorder="1" applyAlignment="1" applyProtection="1">
      <alignment horizontal="right" vertical="center"/>
      <protection locked="0"/>
    </xf>
    <xf numFmtId="3" fontId="27" fillId="0" borderId="572" xfId="181" applyNumberFormat="1" applyFont="1" applyFill="1" applyBorder="1" applyAlignment="1" applyProtection="1">
      <alignment horizontal="right" vertical="center"/>
      <protection locked="0"/>
    </xf>
    <xf numFmtId="49" fontId="15" fillId="16" borderId="763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764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765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766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107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733" xfId="181" applyNumberFormat="1" applyFont="1" applyFill="1" applyBorder="1" applyAlignment="1" applyProtection="1">
      <alignment horizontal="left" vertical="center" wrapText="1"/>
      <protection locked="0"/>
    </xf>
    <xf numFmtId="3" fontId="53" fillId="0" borderId="547" xfId="181" applyNumberFormat="1" applyFont="1" applyFill="1" applyBorder="1" applyAlignment="1" applyProtection="1">
      <alignment horizontal="right" vertical="center"/>
      <protection locked="0"/>
    </xf>
    <xf numFmtId="3" fontId="53" fillId="0" borderId="760" xfId="181" applyNumberFormat="1" applyFont="1" applyFill="1" applyBorder="1" applyAlignment="1" applyProtection="1">
      <alignment horizontal="right" vertical="center"/>
      <protection locked="0"/>
    </xf>
    <xf numFmtId="49" fontId="53" fillId="16" borderId="724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725" xfId="181" applyNumberFormat="1" applyFont="1" applyFill="1" applyBorder="1" applyAlignment="1" applyProtection="1">
      <alignment horizontal="left" vertical="center" wrapText="1"/>
      <protection locked="0"/>
    </xf>
    <xf numFmtId="3" fontId="52" fillId="0" borderId="751" xfId="181" applyNumberFormat="1" applyFont="1" applyFill="1" applyBorder="1" applyAlignment="1" applyProtection="1">
      <alignment horizontal="right" vertical="center"/>
      <protection locked="0"/>
    </xf>
    <xf numFmtId="3" fontId="53" fillId="0" borderId="745" xfId="181" applyNumberFormat="1" applyFont="1" applyFill="1" applyBorder="1" applyAlignment="1" applyProtection="1">
      <alignment horizontal="right" vertical="center"/>
      <protection locked="0"/>
    </xf>
    <xf numFmtId="49" fontId="53" fillId="16" borderId="555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546" xfId="181" applyNumberFormat="1" applyFont="1" applyFill="1" applyBorder="1" applyAlignment="1" applyProtection="1">
      <alignment horizontal="left" vertical="center" wrapText="1"/>
      <protection locked="0"/>
    </xf>
    <xf numFmtId="3" fontId="53" fillId="0" borderId="751" xfId="181" applyNumberFormat="1" applyFont="1" applyFill="1" applyBorder="1" applyAlignment="1" applyProtection="1">
      <alignment horizontal="right" vertical="center"/>
      <protection locked="0"/>
    </xf>
    <xf numFmtId="49" fontId="53" fillId="16" borderId="0" xfId="181" applyNumberFormat="1" applyFont="1" applyFill="1" applyBorder="1" applyAlignment="1" applyProtection="1">
      <alignment horizontal="center" vertical="center" wrapText="1"/>
      <protection locked="0"/>
    </xf>
    <xf numFmtId="10" fontId="53" fillId="0" borderId="658" xfId="177" applyNumberFormat="1" applyFont="1" applyFill="1" applyBorder="1" applyAlignment="1" applyProtection="1">
      <alignment horizontal="right" vertical="center"/>
      <protection locked="0"/>
    </xf>
    <xf numFmtId="3" fontId="48" fillId="0" borderId="751" xfId="181" applyNumberFormat="1" applyFont="1" applyFill="1" applyBorder="1" applyAlignment="1" applyProtection="1">
      <alignment horizontal="right" vertical="center"/>
      <protection locked="0"/>
    </xf>
    <xf numFmtId="3" fontId="48" fillId="0" borderId="768" xfId="181" applyNumberFormat="1" applyFont="1" applyFill="1" applyBorder="1" applyAlignment="1" applyProtection="1">
      <alignment horizontal="right" vertical="center"/>
      <protection locked="0"/>
    </xf>
    <xf numFmtId="49" fontId="15" fillId="16" borderId="769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770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771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767" xfId="181" applyNumberFormat="1" applyFont="1" applyFill="1" applyBorder="1" applyAlignment="1" applyProtection="1">
      <alignment vertical="center" wrapText="1"/>
      <protection locked="0"/>
    </xf>
    <xf numFmtId="49" fontId="15" fillId="16" borderId="772" xfId="181" applyNumberFormat="1" applyFont="1" applyFill="1" applyBorder="1" applyAlignment="1" applyProtection="1">
      <alignment vertical="center" wrapText="1"/>
      <protection locked="0"/>
    </xf>
    <xf numFmtId="3" fontId="48" fillId="0" borderId="772" xfId="181" applyNumberFormat="1" applyFont="1" applyFill="1" applyBorder="1" applyAlignment="1" applyProtection="1">
      <alignment horizontal="right" vertical="center"/>
      <protection locked="0"/>
    </xf>
    <xf numFmtId="3" fontId="48" fillId="0" borderId="773" xfId="181" applyNumberFormat="1" applyFont="1" applyFill="1" applyBorder="1" applyAlignment="1" applyProtection="1">
      <alignment horizontal="right" vertical="center"/>
      <protection locked="0"/>
    </xf>
    <xf numFmtId="3" fontId="48" fillId="0" borderId="774" xfId="181" applyNumberFormat="1" applyFont="1" applyFill="1" applyBorder="1" applyAlignment="1" applyProtection="1">
      <alignment horizontal="right" vertical="center"/>
      <protection locked="0"/>
    </xf>
    <xf numFmtId="49" fontId="15" fillId="16" borderId="775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776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777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557" xfId="181" applyNumberFormat="1" applyFont="1" applyFill="1" applyBorder="1" applyAlignment="1" applyProtection="1">
      <alignment vertical="center" wrapText="1"/>
      <protection locked="0"/>
    </xf>
    <xf numFmtId="49" fontId="15" fillId="16" borderId="778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555" xfId="181" applyNumberFormat="1" applyFont="1" applyFill="1" applyBorder="1" applyAlignment="1" applyProtection="1">
      <alignment vertical="center" wrapText="1"/>
      <protection locked="0"/>
    </xf>
    <xf numFmtId="49" fontId="15" fillId="16" borderId="546" xfId="181" applyNumberFormat="1" applyFont="1" applyFill="1" applyBorder="1" applyAlignment="1" applyProtection="1">
      <alignment vertical="center" wrapText="1"/>
      <protection locked="0"/>
    </xf>
    <xf numFmtId="49" fontId="15" fillId="16" borderId="571" xfId="181" applyNumberFormat="1" applyFont="1" applyFill="1" applyBorder="1" applyAlignment="1" applyProtection="1">
      <alignment vertical="center" wrapText="1"/>
      <protection locked="0"/>
    </xf>
    <xf numFmtId="3" fontId="15" fillId="21" borderId="772" xfId="181" applyNumberFormat="1" applyFont="1" applyFill="1" applyBorder="1" applyAlignment="1" applyProtection="1">
      <alignment horizontal="right" vertical="center" wrapText="1"/>
      <protection locked="0"/>
    </xf>
    <xf numFmtId="49" fontId="15" fillId="16" borderId="780" xfId="181" applyNumberFormat="1" applyFont="1" applyFill="1" applyBorder="1" applyAlignment="1" applyProtection="1">
      <alignment horizontal="left" vertical="center" wrapText="1"/>
      <protection locked="0"/>
    </xf>
    <xf numFmtId="3" fontId="15" fillId="16" borderId="781" xfId="181" applyNumberFormat="1" applyFont="1" applyFill="1" applyBorder="1" applyAlignment="1" applyProtection="1">
      <alignment horizontal="right" vertical="center" wrapText="1"/>
      <protection locked="0"/>
    </xf>
    <xf numFmtId="3" fontId="27" fillId="0" borderId="772" xfId="181" applyNumberFormat="1" applyFont="1" applyFill="1" applyBorder="1" applyAlignment="1" applyProtection="1">
      <alignment horizontal="right" vertical="center"/>
      <protection locked="0"/>
    </xf>
    <xf numFmtId="49" fontId="15" fillId="16" borderId="782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783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784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785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787" xfId="181" applyNumberFormat="1" applyFont="1" applyFill="1" applyBorder="1" applyAlignment="1" applyProtection="1">
      <alignment horizontal="right" vertical="center"/>
      <protection locked="0"/>
    </xf>
    <xf numFmtId="49" fontId="15" fillId="16" borderId="788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789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790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791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792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793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794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795" xfId="181" applyNumberFormat="1" applyFont="1" applyFill="1" applyBorder="1" applyAlignment="1" applyProtection="1">
      <alignment horizontal="left" vertical="center" wrapText="1"/>
      <protection locked="0"/>
    </xf>
    <xf numFmtId="3" fontId="48" fillId="0" borderId="796" xfId="181" applyNumberFormat="1" applyFont="1" applyFill="1" applyBorder="1" applyAlignment="1" applyProtection="1">
      <alignment horizontal="right" vertical="center"/>
      <protection locked="0"/>
    </xf>
    <xf numFmtId="49" fontId="15" fillId="16" borderId="797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798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790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791" xfId="181" applyNumberFormat="1" applyFont="1" applyFill="1" applyBorder="1" applyAlignment="1" applyProtection="1">
      <alignment horizontal="left" vertical="center" wrapText="1"/>
      <protection locked="0"/>
    </xf>
    <xf numFmtId="3" fontId="53" fillId="0" borderId="787" xfId="181" applyNumberFormat="1" applyFont="1" applyFill="1" applyBorder="1" applyAlignment="1" applyProtection="1">
      <alignment horizontal="right" vertical="center"/>
      <protection locked="0"/>
    </xf>
    <xf numFmtId="10" fontId="53" fillId="0" borderId="799" xfId="177" applyNumberFormat="1" applyFont="1" applyFill="1" applyBorder="1" applyAlignment="1" applyProtection="1">
      <alignment horizontal="right" vertical="center"/>
      <protection locked="0"/>
    </xf>
    <xf numFmtId="49" fontId="15" fillId="16" borderId="787" xfId="181" applyNumberFormat="1" applyFont="1" applyFill="1" applyBorder="1" applyAlignment="1" applyProtection="1">
      <alignment vertical="center" wrapText="1"/>
      <protection locked="0"/>
    </xf>
    <xf numFmtId="49" fontId="15" fillId="16" borderId="800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801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802" xfId="181" applyNumberFormat="1" applyFont="1" applyFill="1" applyBorder="1" applyAlignment="1" applyProtection="1">
      <alignment horizontal="center" vertical="center" wrapText="1"/>
      <protection locked="0"/>
    </xf>
    <xf numFmtId="3" fontId="27" fillId="0" borderId="293" xfId="181" applyNumberFormat="1" applyFont="1" applyFill="1" applyBorder="1" applyAlignment="1" applyProtection="1">
      <alignment horizontal="right" vertical="center"/>
      <protection locked="0"/>
    </xf>
    <xf numFmtId="3" fontId="15" fillId="0" borderId="804" xfId="181" applyNumberFormat="1" applyFont="1" applyFill="1" applyBorder="1" applyAlignment="1" applyProtection="1">
      <alignment horizontal="right" vertical="center"/>
      <protection locked="0"/>
    </xf>
    <xf numFmtId="3" fontId="48" fillId="0" borderId="804" xfId="181" applyNumberFormat="1" applyFont="1" applyFill="1" applyBorder="1" applyAlignment="1" applyProtection="1">
      <alignment horizontal="right" vertical="center"/>
      <protection locked="0"/>
    </xf>
    <xf numFmtId="49" fontId="15" fillId="16" borderId="805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806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807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49" xfId="181" applyNumberFormat="1" applyFont="1" applyFill="1" applyBorder="1" applyAlignment="1" applyProtection="1">
      <alignment vertical="center" wrapText="1"/>
      <protection locked="0"/>
    </xf>
    <xf numFmtId="49" fontId="15" fillId="16" borderId="808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809" xfId="181" applyNumberFormat="1" applyFont="1" applyFill="1" applyBorder="1" applyAlignment="1" applyProtection="1">
      <alignment horizontal="center" vertical="center" wrapText="1"/>
      <protection locked="0"/>
    </xf>
    <xf numFmtId="3" fontId="15" fillId="0" borderId="811" xfId="181" applyNumberFormat="1" applyFont="1" applyFill="1" applyBorder="1" applyAlignment="1" applyProtection="1">
      <alignment horizontal="right" vertical="center"/>
      <protection locked="0"/>
    </xf>
    <xf numFmtId="2" fontId="15" fillId="0" borderId="804" xfId="181" applyNumberFormat="1" applyFont="1" applyFill="1" applyBorder="1" applyAlignment="1" applyProtection="1">
      <alignment horizontal="left" vertical="center" wrapText="1"/>
      <protection locked="0"/>
    </xf>
    <xf numFmtId="2" fontId="15" fillId="0" borderId="785" xfId="181" applyNumberFormat="1" applyFont="1" applyFill="1" applyBorder="1" applyAlignment="1" applyProtection="1">
      <alignment horizontal="left" vertical="center" wrapText="1"/>
      <protection locked="0"/>
    </xf>
    <xf numFmtId="2" fontId="15" fillId="0" borderId="812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812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804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650" xfId="181" applyNumberFormat="1" applyFont="1" applyFill="1" applyBorder="1" applyAlignment="1" applyProtection="1">
      <alignment vertical="center" wrapText="1"/>
      <protection locked="0"/>
    </xf>
    <xf numFmtId="49" fontId="53" fillId="16" borderId="712" xfId="181" applyNumberFormat="1" applyFont="1" applyFill="1" applyBorder="1" applyAlignment="1" applyProtection="1">
      <alignment vertical="center" wrapText="1"/>
      <protection locked="0"/>
    </xf>
    <xf numFmtId="49" fontId="53" fillId="16" borderId="649" xfId="181" applyNumberFormat="1" applyFont="1" applyFill="1" applyBorder="1" applyAlignment="1" applyProtection="1">
      <alignment vertical="center" wrapText="1"/>
      <protection locked="0"/>
    </xf>
    <xf numFmtId="3" fontId="53" fillId="0" borderId="650" xfId="181" applyNumberFormat="1" applyFont="1" applyFill="1" applyBorder="1" applyAlignment="1" applyProtection="1">
      <alignment horizontal="right" vertical="center"/>
      <protection locked="0"/>
    </xf>
    <xf numFmtId="3" fontId="15" fillId="0" borderId="293" xfId="181" applyNumberFormat="1" applyFont="1" applyFill="1" applyBorder="1" applyAlignment="1" applyProtection="1">
      <alignment horizontal="right" vertical="center"/>
      <protection locked="0"/>
    </xf>
    <xf numFmtId="49" fontId="53" fillId="16" borderId="547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813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745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720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720" xfId="181" applyNumberFormat="1" applyFont="1" applyFill="1" applyBorder="1" applyAlignment="1" applyProtection="1">
      <alignment vertical="center" wrapText="1"/>
      <protection locked="0"/>
    </xf>
    <xf numFmtId="3" fontId="27" fillId="0" borderId="720" xfId="181" applyNumberFormat="1" applyFont="1" applyFill="1" applyBorder="1" applyAlignment="1" applyProtection="1">
      <alignment horizontal="right" vertical="center"/>
      <protection locked="0"/>
    </xf>
    <xf numFmtId="3" fontId="27" fillId="0" borderId="804" xfId="181" applyNumberFormat="1" applyFont="1" applyFill="1" applyBorder="1" applyAlignment="1" applyProtection="1">
      <alignment horizontal="right" vertical="center"/>
      <protection locked="0"/>
    </xf>
    <xf numFmtId="2" fontId="15" fillId="0" borderId="810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799" xfId="181" applyNumberFormat="1" applyFont="1" applyFill="1" applyBorder="1" applyAlignment="1" applyProtection="1">
      <alignment horizontal="right" vertical="center"/>
      <protection locked="0"/>
    </xf>
    <xf numFmtId="3" fontId="15" fillId="0" borderId="814" xfId="181" applyNumberFormat="1" applyFont="1" applyFill="1" applyBorder="1" applyAlignment="1" applyProtection="1">
      <alignment horizontal="right" vertical="center"/>
      <protection locked="0"/>
    </xf>
    <xf numFmtId="2" fontId="15" fillId="0" borderId="815" xfId="181" applyNumberFormat="1" applyFont="1" applyFill="1" applyBorder="1" applyAlignment="1" applyProtection="1">
      <alignment horizontal="left" vertical="center" wrapText="1"/>
      <protection locked="0"/>
    </xf>
    <xf numFmtId="2" fontId="15" fillId="0" borderId="35" xfId="181" applyNumberFormat="1" applyFont="1" applyFill="1" applyBorder="1" applyAlignment="1" applyProtection="1">
      <alignment horizontal="left" vertical="center" wrapText="1"/>
      <protection locked="0"/>
    </xf>
    <xf numFmtId="49" fontId="44" fillId="17" borderId="34" xfId="181" applyNumberFormat="1" applyFont="1" applyFill="1" applyBorder="1" applyAlignment="1" applyProtection="1">
      <alignment horizontal="center" vertical="center" wrapText="1"/>
      <protection locked="0"/>
    </xf>
    <xf numFmtId="49" fontId="44" fillId="17" borderId="158" xfId="181" applyNumberFormat="1" applyFont="1" applyFill="1" applyBorder="1" applyAlignment="1" applyProtection="1">
      <alignment horizontal="center" vertical="center" wrapText="1"/>
      <protection locked="0"/>
    </xf>
    <xf numFmtId="49" fontId="44" fillId="17" borderId="501" xfId="181" applyNumberFormat="1" applyFont="1" applyFill="1" applyBorder="1" applyAlignment="1" applyProtection="1">
      <alignment horizontal="left" vertical="center" wrapText="1"/>
      <protection locked="0"/>
    </xf>
    <xf numFmtId="3" fontId="44" fillId="9" borderId="34" xfId="181" applyNumberFormat="1" applyFont="1" applyFill="1" applyBorder="1" applyAlignment="1" applyProtection="1">
      <alignment horizontal="right" vertical="center"/>
      <protection locked="0"/>
    </xf>
    <xf numFmtId="49" fontId="54" fillId="19" borderId="131" xfId="181" applyNumberFormat="1" applyFont="1" applyFill="1" applyBorder="1" applyAlignment="1" applyProtection="1">
      <alignment horizontal="center" vertical="center" wrapText="1"/>
      <protection locked="0"/>
    </xf>
    <xf numFmtId="49" fontId="54" fillId="19" borderId="168" xfId="181" applyNumberFormat="1" applyFont="1" applyFill="1" applyBorder="1" applyAlignment="1" applyProtection="1">
      <alignment horizontal="center" vertical="center" wrapText="1"/>
      <protection locked="0"/>
    </xf>
    <xf numFmtId="49" fontId="54" fillId="19" borderId="169" xfId="181" applyNumberFormat="1" applyFont="1" applyFill="1" applyBorder="1" applyAlignment="1" applyProtection="1">
      <alignment horizontal="left" vertical="center" wrapText="1"/>
      <protection locked="0"/>
    </xf>
    <xf numFmtId="3" fontId="44" fillId="0" borderId="50" xfId="181" applyNumberFormat="1" applyFont="1" applyFill="1" applyBorder="1" applyAlignment="1" applyProtection="1">
      <alignment horizontal="right" vertical="center"/>
      <protection locked="0"/>
    </xf>
    <xf numFmtId="49" fontId="53" fillId="16" borderId="796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798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803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817" xfId="181" applyNumberFormat="1" applyFont="1" applyFill="1" applyBorder="1" applyAlignment="1" applyProtection="1">
      <alignment horizontal="center" vertical="center" wrapText="1"/>
      <protection locked="0"/>
    </xf>
    <xf numFmtId="49" fontId="53" fillId="0" borderId="818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819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820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813" xfId="181" applyNumberFormat="1" applyFont="1" applyFill="1" applyBorder="1" applyAlignment="1" applyProtection="1">
      <alignment horizontal="left" vertical="center" wrapText="1"/>
      <protection locked="0"/>
    </xf>
    <xf numFmtId="3" fontId="53" fillId="0" borderId="811" xfId="181" applyNumberFormat="1" applyFont="1" applyFill="1" applyBorder="1" applyAlignment="1" applyProtection="1">
      <alignment horizontal="right" vertical="center"/>
      <protection locked="0"/>
    </xf>
    <xf numFmtId="49" fontId="53" fillId="0" borderId="731" xfId="181" applyNumberFormat="1" applyFont="1" applyFill="1" applyBorder="1" applyAlignment="1" applyProtection="1">
      <alignment horizontal="center" vertical="center" wrapText="1"/>
      <protection locked="0"/>
    </xf>
    <xf numFmtId="49" fontId="53" fillId="0" borderId="803" xfId="181" applyNumberFormat="1" applyFont="1" applyFill="1" applyBorder="1" applyAlignment="1" applyProtection="1">
      <alignment horizontal="left" vertical="center" wrapText="1"/>
      <protection locked="0"/>
    </xf>
    <xf numFmtId="3" fontId="44" fillId="0" borderId="811" xfId="181" applyNumberFormat="1" applyFont="1" applyFill="1" applyBorder="1" applyAlignment="1" applyProtection="1">
      <alignment horizontal="right" vertical="center"/>
      <protection locked="0"/>
    </xf>
    <xf numFmtId="49" fontId="53" fillId="0" borderId="798" xfId="0" applyNumberFormat="1" applyFont="1" applyBorder="1" applyAlignment="1">
      <alignment vertical="center" wrapText="1"/>
    </xf>
    <xf numFmtId="49" fontId="53" fillId="0" borderId="802" xfId="181" applyNumberFormat="1" applyFont="1" applyFill="1" applyBorder="1" applyAlignment="1" applyProtection="1">
      <alignment horizontal="center" vertical="center" wrapText="1"/>
      <protection locked="0"/>
    </xf>
    <xf numFmtId="49" fontId="53" fillId="0" borderId="49" xfId="181" applyNumberFormat="1" applyFont="1" applyFill="1" applyBorder="1" applyAlignment="1" applyProtection="1">
      <alignment horizontal="left" vertical="center" wrapText="1"/>
      <protection locked="0"/>
    </xf>
    <xf numFmtId="49" fontId="57" fillId="0" borderId="52" xfId="181" applyNumberFormat="1" applyFont="1" applyFill="1" applyBorder="1" applyAlignment="1" applyProtection="1">
      <alignment vertical="center" wrapText="1"/>
      <protection locked="0"/>
    </xf>
    <xf numFmtId="3" fontId="10" fillId="0" borderId="39" xfId="181" applyNumberFormat="1" applyFont="1" applyFill="1" applyBorder="1" applyAlignment="1" applyProtection="1">
      <alignment horizontal="right" vertical="center"/>
      <protection locked="0"/>
    </xf>
    <xf numFmtId="3" fontId="10" fillId="0" borderId="49" xfId="181" applyNumberFormat="1" applyFont="1" applyFill="1" applyBorder="1" applyAlignment="1" applyProtection="1">
      <alignment horizontal="right" vertical="center"/>
      <protection locked="0"/>
    </xf>
    <xf numFmtId="10" fontId="10" fillId="0" borderId="823" xfId="177" applyNumberFormat="1" applyFont="1" applyFill="1" applyBorder="1" applyAlignment="1" applyProtection="1">
      <alignment horizontal="right" vertical="center"/>
      <protection locked="0"/>
    </xf>
    <xf numFmtId="3" fontId="10" fillId="0" borderId="720" xfId="181" applyNumberFormat="1" applyFont="1" applyFill="1" applyBorder="1" applyAlignment="1" applyProtection="1">
      <alignment horizontal="right" vertical="center"/>
      <protection locked="0"/>
    </xf>
    <xf numFmtId="3" fontId="10" fillId="0" borderId="804" xfId="181" applyNumberFormat="1" applyFont="1" applyFill="1" applyBorder="1" applyAlignment="1" applyProtection="1">
      <alignment horizontal="right" vertical="center"/>
      <protection locked="0"/>
    </xf>
    <xf numFmtId="49" fontId="10" fillId="16" borderId="788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824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49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825" xfId="181" applyNumberFormat="1" applyFont="1" applyFill="1" applyBorder="1" applyAlignment="1" applyProtection="1">
      <alignment horizontal="right" vertical="center"/>
      <protection locked="0"/>
    </xf>
    <xf numFmtId="3" fontId="10" fillId="0" borderId="823" xfId="181" applyNumberFormat="1" applyFont="1" applyFill="1" applyBorder="1" applyAlignment="1" applyProtection="1">
      <alignment horizontal="right" vertical="center"/>
      <protection locked="0"/>
    </xf>
    <xf numFmtId="3" fontId="10" fillId="0" borderId="826" xfId="181" applyNumberFormat="1" applyFont="1" applyFill="1" applyBorder="1" applyAlignment="1" applyProtection="1">
      <alignment horizontal="right" vertical="center"/>
      <protection locked="0"/>
    </xf>
    <xf numFmtId="49" fontId="10" fillId="0" borderId="827" xfId="181" applyNumberFormat="1" applyFont="1" applyFill="1" applyBorder="1" applyAlignment="1" applyProtection="1">
      <alignment horizontal="center" vertical="center" wrapText="1"/>
      <protection locked="0"/>
    </xf>
    <xf numFmtId="49" fontId="10" fillId="0" borderId="828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829" xfId="181" applyNumberFormat="1" applyFont="1" applyFill="1" applyBorder="1" applyAlignment="1" applyProtection="1">
      <alignment horizontal="right" vertical="center"/>
      <protection locked="0"/>
    </xf>
    <xf numFmtId="10" fontId="10" fillId="0" borderId="830" xfId="177" applyNumberFormat="1" applyFont="1" applyFill="1" applyBorder="1" applyAlignment="1" applyProtection="1">
      <alignment horizontal="right" vertical="center"/>
      <protection locked="0"/>
    </xf>
    <xf numFmtId="49" fontId="10" fillId="0" borderId="831" xfId="181" applyNumberFormat="1" applyFont="1" applyFill="1" applyBorder="1" applyAlignment="1" applyProtection="1">
      <alignment horizontal="center" vertical="center" wrapText="1"/>
      <protection locked="0"/>
    </xf>
    <xf numFmtId="49" fontId="10" fillId="0" borderId="832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833" xfId="181" applyNumberFormat="1" applyFont="1" applyFill="1" applyBorder="1" applyAlignment="1" applyProtection="1">
      <alignment horizontal="right" vertical="center"/>
      <protection locked="0"/>
    </xf>
    <xf numFmtId="3" fontId="10" fillId="0" borderId="830" xfId="181" applyNumberFormat="1" applyFont="1" applyFill="1" applyBorder="1" applyAlignment="1" applyProtection="1">
      <alignment horizontal="right" vertical="center"/>
      <protection locked="0"/>
    </xf>
    <xf numFmtId="3" fontId="10" fillId="0" borderId="834" xfId="181" applyNumberFormat="1" applyFont="1" applyFill="1" applyBorder="1" applyAlignment="1" applyProtection="1">
      <alignment horizontal="right" vertical="center"/>
      <protection locked="0"/>
    </xf>
    <xf numFmtId="49" fontId="57" fillId="0" borderId="39" xfId="181" applyNumberFormat="1" applyFont="1" applyFill="1" applyBorder="1" applyAlignment="1" applyProtection="1">
      <alignment vertical="center" wrapText="1"/>
      <protection locked="0"/>
    </xf>
    <xf numFmtId="49" fontId="57" fillId="0" borderId="547" xfId="181" applyNumberFormat="1" applyFont="1" applyFill="1" applyBorder="1" applyAlignment="1" applyProtection="1">
      <alignment horizontal="center" vertical="center" wrapText="1"/>
      <protection locked="0"/>
    </xf>
    <xf numFmtId="49" fontId="57" fillId="0" borderId="563" xfId="181" applyNumberFormat="1" applyFont="1" applyFill="1" applyBorder="1" applyAlignment="1" applyProtection="1">
      <alignment horizontal="center" vertical="center" wrapText="1"/>
      <protection locked="0"/>
    </xf>
    <xf numFmtId="3" fontId="40" fillId="0" borderId="835" xfId="181" applyNumberFormat="1" applyFont="1" applyFill="1" applyBorder="1" applyAlignment="1" applyProtection="1">
      <alignment horizontal="right" vertical="center"/>
      <protection locked="0"/>
    </xf>
    <xf numFmtId="3" fontId="40" fillId="0" borderId="837" xfId="181" applyNumberFormat="1" applyFont="1" applyFill="1" applyBorder="1" applyAlignment="1" applyProtection="1">
      <alignment horizontal="right" vertical="center"/>
      <protection locked="0"/>
    </xf>
    <xf numFmtId="3" fontId="40" fillId="0" borderId="836" xfId="181" applyNumberFormat="1" applyFont="1" applyFill="1" applyBorder="1" applyAlignment="1" applyProtection="1">
      <alignment horizontal="right" vertical="center"/>
      <protection locked="0"/>
    </xf>
    <xf numFmtId="10" fontId="40" fillId="0" borderId="837" xfId="177" applyNumberFormat="1" applyFont="1" applyFill="1" applyBorder="1" applyAlignment="1" applyProtection="1">
      <alignment horizontal="right" vertical="center"/>
      <protection locked="0"/>
    </xf>
    <xf numFmtId="49" fontId="10" fillId="16" borderId="840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828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745" xfId="181" applyNumberFormat="1" applyFont="1" applyFill="1" applyBorder="1" applyAlignment="1" applyProtection="1">
      <alignment horizontal="right" vertical="center"/>
      <protection locked="0"/>
    </xf>
    <xf numFmtId="49" fontId="57" fillId="0" borderId="52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841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842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843" xfId="181" applyNumberFormat="1" applyFont="1" applyFill="1" applyBorder="1" applyAlignment="1" applyProtection="1">
      <alignment horizontal="right" vertical="center"/>
      <protection locked="0"/>
    </xf>
    <xf numFmtId="49" fontId="10" fillId="16" borderId="805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808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787" xfId="181" applyNumberFormat="1" applyFont="1" applyFill="1" applyBorder="1" applyAlignment="1" applyProtection="1">
      <alignment horizontal="right" vertical="center"/>
      <protection locked="0"/>
    </xf>
    <xf numFmtId="49" fontId="57" fillId="0" borderId="39" xfId="181" applyNumberFormat="1" applyFont="1" applyFill="1" applyBorder="1" applyAlignment="1" applyProtection="1">
      <alignment horizontal="center" vertical="center" wrapText="1"/>
      <protection locked="0"/>
    </xf>
    <xf numFmtId="49" fontId="54" fillId="0" borderId="39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731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844" xfId="181" applyNumberFormat="1" applyFont="1" applyFill="1" applyBorder="1" applyAlignment="1" applyProtection="1">
      <alignment horizontal="left" vertical="center" wrapText="1"/>
      <protection locked="0"/>
    </xf>
    <xf numFmtId="49" fontId="40" fillId="20" borderId="128" xfId="181" applyNumberFormat="1" applyFont="1" applyFill="1" applyBorder="1" applyAlignment="1" applyProtection="1">
      <alignment horizontal="center" vertical="center" wrapText="1"/>
      <protection locked="0"/>
    </xf>
    <xf numFmtId="49" fontId="40" fillId="19" borderId="129" xfId="181" applyNumberFormat="1" applyFont="1" applyFill="1" applyBorder="1" applyAlignment="1" applyProtection="1">
      <alignment horizontal="center" vertical="center" wrapText="1"/>
      <protection locked="0"/>
    </xf>
    <xf numFmtId="49" fontId="40" fillId="19" borderId="130" xfId="181" applyNumberFormat="1" applyFont="1" applyFill="1" applyBorder="1" applyAlignment="1" applyProtection="1">
      <alignment horizontal="left" vertical="center" wrapText="1"/>
      <protection locked="0"/>
    </xf>
    <xf numFmtId="3" fontId="40" fillId="2" borderId="547" xfId="181" applyNumberFormat="1" applyFont="1" applyFill="1" applyBorder="1" applyAlignment="1" applyProtection="1">
      <alignment horizontal="right" vertical="center"/>
      <protection locked="0"/>
    </xf>
    <xf numFmtId="3" fontId="40" fillId="2" borderId="41" xfId="181" applyNumberFormat="1" applyFont="1" applyFill="1" applyBorder="1" applyAlignment="1" applyProtection="1">
      <alignment horizontal="right" vertical="center"/>
      <protection locked="0"/>
    </xf>
    <xf numFmtId="3" fontId="40" fillId="2" borderId="563" xfId="181" applyNumberFormat="1" applyFont="1" applyFill="1" applyBorder="1" applyAlignment="1" applyProtection="1">
      <alignment horizontal="right" vertical="center"/>
      <protection locked="0"/>
    </xf>
    <xf numFmtId="49" fontId="40" fillId="21" borderId="76" xfId="181" applyNumberFormat="1" applyFont="1" applyFill="1" applyBorder="1" applyAlignment="1" applyProtection="1">
      <alignment horizontal="left" vertical="center" wrapText="1"/>
      <protection locked="0"/>
    </xf>
    <xf numFmtId="0" fontId="1" fillId="0" borderId="76" xfId="0" applyFont="1" applyBorder="1" applyAlignment="1">
      <alignment horizontal="left" vertical="center" wrapText="1"/>
    </xf>
    <xf numFmtId="3" fontId="10" fillId="2" borderId="720" xfId="181" applyNumberFormat="1" applyFont="1" applyFill="1" applyBorder="1" applyAlignment="1" applyProtection="1">
      <alignment horizontal="right" vertical="center"/>
      <protection locked="0"/>
    </xf>
    <xf numFmtId="3" fontId="10" fillId="2" borderId="653" xfId="181" applyNumberFormat="1" applyFont="1" applyFill="1" applyBorder="1" applyAlignment="1" applyProtection="1">
      <alignment horizontal="right" vertical="center"/>
      <protection locked="0"/>
    </xf>
    <xf numFmtId="3" fontId="10" fillId="2" borderId="804" xfId="181" applyNumberFormat="1" applyFont="1" applyFill="1" applyBorder="1" applyAlignment="1" applyProtection="1">
      <alignment horizontal="right" vertical="center"/>
      <protection locked="0"/>
    </xf>
    <xf numFmtId="49" fontId="10" fillId="21" borderId="846" xfId="181" applyNumberFormat="1" applyFont="1" applyFill="1" applyBorder="1" applyAlignment="1" applyProtection="1">
      <alignment horizontal="center" vertical="center" wrapText="1"/>
      <protection locked="0"/>
    </xf>
    <xf numFmtId="49" fontId="10" fillId="21" borderId="845" xfId="181" applyNumberFormat="1" applyFont="1" applyFill="1" applyBorder="1" applyAlignment="1" applyProtection="1">
      <alignment horizontal="left" vertical="center" wrapText="1"/>
      <protection locked="0"/>
    </xf>
    <xf numFmtId="49" fontId="40" fillId="21" borderId="547" xfId="181" applyNumberFormat="1" applyFont="1" applyFill="1" applyBorder="1" applyAlignment="1" applyProtection="1">
      <alignment vertical="center" wrapText="1"/>
      <protection locked="0"/>
    </xf>
    <xf numFmtId="3" fontId="10" fillId="0" borderId="811" xfId="181" applyNumberFormat="1" applyFont="1" applyFill="1" applyBorder="1" applyAlignment="1" applyProtection="1">
      <alignment horizontal="right" vertical="center"/>
      <protection locked="0"/>
    </xf>
    <xf numFmtId="3" fontId="10" fillId="0" borderId="799" xfId="181" applyNumberFormat="1" applyFont="1" applyFill="1" applyBorder="1" applyAlignment="1" applyProtection="1">
      <alignment horizontal="right" vertical="center"/>
      <protection locked="0"/>
    </xf>
    <xf numFmtId="3" fontId="10" fillId="0" borderId="812" xfId="181" applyNumberFormat="1" applyFont="1" applyFill="1" applyBorder="1" applyAlignment="1" applyProtection="1">
      <alignment horizontal="right" vertical="center"/>
      <protection locked="0"/>
    </xf>
    <xf numFmtId="49" fontId="10" fillId="0" borderId="33" xfId="181" applyNumberFormat="1" applyFont="1" applyFill="1" applyBorder="1" applyAlignment="1" applyProtection="1">
      <alignment vertical="center" wrapText="1"/>
      <protection locked="0"/>
    </xf>
    <xf numFmtId="49" fontId="10" fillId="16" borderId="848" xfId="181" applyNumberFormat="1" applyFont="1" applyFill="1" applyBorder="1" applyAlignment="1" applyProtection="1">
      <alignment horizontal="left" vertical="center" wrapText="1"/>
      <protection locked="0"/>
    </xf>
    <xf numFmtId="49" fontId="57" fillId="20" borderId="128" xfId="181" applyNumberFormat="1" applyFont="1" applyFill="1" applyBorder="1" applyAlignment="1" applyProtection="1">
      <alignment horizontal="center" vertical="center" wrapText="1"/>
      <protection locked="0"/>
    </xf>
    <xf numFmtId="49" fontId="44" fillId="21" borderId="797" xfId="181" applyNumberFormat="1" applyFont="1" applyFill="1" applyBorder="1" applyAlignment="1" applyProtection="1">
      <alignment vertical="center" wrapText="1"/>
      <protection locked="0"/>
    </xf>
    <xf numFmtId="0" fontId="29" fillId="0" borderId="849" xfId="0" applyFont="1" applyBorder="1" applyAlignment="1">
      <alignment vertical="center"/>
    </xf>
    <xf numFmtId="0" fontId="29" fillId="0" borderId="720" xfId="0" applyFont="1" applyBorder="1" applyAlignment="1">
      <alignment vertical="center"/>
    </xf>
    <xf numFmtId="3" fontId="53" fillId="0" borderId="804" xfId="181" applyNumberFormat="1" applyFont="1" applyFill="1" applyBorder="1" applyAlignment="1" applyProtection="1">
      <alignment horizontal="right" vertical="center"/>
      <protection locked="0"/>
    </xf>
    <xf numFmtId="49" fontId="10" fillId="16" borderId="850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851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852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853" xfId="181" applyNumberFormat="1" applyFont="1" applyFill="1" applyBorder="1" applyAlignment="1" applyProtection="1">
      <alignment horizontal="left" vertical="center" wrapText="1"/>
      <protection locked="0"/>
    </xf>
    <xf numFmtId="10" fontId="10" fillId="0" borderId="799" xfId="177" applyNumberFormat="1" applyFont="1" applyFill="1" applyBorder="1" applyAlignment="1" applyProtection="1">
      <alignment horizontal="right" vertical="center"/>
      <protection locked="0"/>
    </xf>
    <xf numFmtId="3" fontId="59" fillId="0" borderId="720" xfId="181" applyNumberFormat="1" applyFont="1" applyFill="1" applyBorder="1" applyAlignment="1" applyProtection="1">
      <alignment horizontal="right" vertical="center"/>
      <protection locked="0"/>
    </xf>
    <xf numFmtId="3" fontId="59" fillId="0" borderId="653" xfId="181" applyNumberFormat="1" applyFont="1" applyFill="1" applyBorder="1" applyAlignment="1" applyProtection="1">
      <alignment horizontal="right" vertical="center"/>
      <protection locked="0"/>
    </xf>
    <xf numFmtId="3" fontId="59" fillId="0" borderId="804" xfId="181" applyNumberFormat="1" applyFont="1" applyFill="1" applyBorder="1" applyAlignment="1" applyProtection="1">
      <alignment horizontal="right" vertical="center"/>
      <protection locked="0"/>
    </xf>
    <xf numFmtId="49" fontId="10" fillId="16" borderId="846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791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76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76" xfId="181" applyNumberFormat="1" applyFont="1" applyFill="1" applyBorder="1" applyAlignment="1" applyProtection="1">
      <alignment horizontal="left" vertical="center" wrapText="1"/>
      <protection locked="0"/>
    </xf>
    <xf numFmtId="3" fontId="44" fillId="0" borderId="720" xfId="181" applyNumberFormat="1" applyFont="1" applyFill="1" applyBorder="1" applyAlignment="1" applyProtection="1">
      <alignment horizontal="right" vertical="center"/>
      <protection locked="0"/>
    </xf>
    <xf numFmtId="49" fontId="53" fillId="16" borderId="852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853" xfId="181" applyNumberFormat="1" applyFont="1" applyFill="1" applyBorder="1" applyAlignment="1" applyProtection="1">
      <alignment horizontal="left" vertical="center" wrapText="1"/>
      <protection locked="0"/>
    </xf>
    <xf numFmtId="3" fontId="53" fillId="0" borderId="799" xfId="181" applyNumberFormat="1" applyFont="1" applyFill="1" applyBorder="1" applyAlignment="1" applyProtection="1">
      <alignment horizontal="right" vertical="center"/>
      <protection locked="0"/>
    </xf>
    <xf numFmtId="3" fontId="53" fillId="0" borderId="814" xfId="181" applyNumberFormat="1" applyFont="1" applyFill="1" applyBorder="1" applyAlignment="1" applyProtection="1">
      <alignment horizontal="right" vertical="center"/>
      <protection locked="0"/>
    </xf>
    <xf numFmtId="49" fontId="10" fillId="16" borderId="855" xfId="181" applyNumberFormat="1" applyFont="1" applyFill="1" applyBorder="1" applyAlignment="1" applyProtection="1">
      <alignment horizontal="center" vertical="center" wrapText="1"/>
      <protection locked="0"/>
    </xf>
    <xf numFmtId="49" fontId="57" fillId="19" borderId="158" xfId="181" applyNumberFormat="1" applyFont="1" applyFill="1" applyBorder="1" applyAlignment="1" applyProtection="1">
      <alignment horizontal="center" vertical="center" wrapText="1"/>
      <protection locked="0"/>
    </xf>
    <xf numFmtId="10" fontId="59" fillId="0" borderId="653" xfId="177" applyNumberFormat="1" applyFont="1" applyFill="1" applyBorder="1" applyAlignment="1" applyProtection="1">
      <alignment horizontal="right" vertical="center"/>
      <protection locked="0"/>
    </xf>
    <xf numFmtId="49" fontId="10" fillId="16" borderId="817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849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731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787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857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804" xfId="181" applyNumberFormat="1" applyFont="1" applyFill="1" applyBorder="1" applyAlignment="1" applyProtection="1">
      <alignment horizontal="left" vertical="center" wrapText="1"/>
      <protection locked="0"/>
    </xf>
    <xf numFmtId="49" fontId="44" fillId="0" borderId="52" xfId="181" applyNumberFormat="1" applyFont="1" applyFill="1" applyBorder="1" applyAlignment="1" applyProtection="1">
      <alignment horizontal="center" vertical="center" wrapText="1"/>
      <protection locked="0"/>
    </xf>
    <xf numFmtId="3" fontId="53" fillId="0" borderId="829" xfId="181" applyNumberFormat="1" applyFont="1" applyFill="1" applyBorder="1" applyAlignment="1" applyProtection="1">
      <alignment horizontal="right" vertical="center"/>
      <protection locked="0"/>
    </xf>
    <xf numFmtId="49" fontId="53" fillId="16" borderId="814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858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852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853" xfId="181" applyNumberFormat="1" applyFont="1" applyFill="1" applyBorder="1" applyAlignment="1" applyProtection="1">
      <alignment horizontal="left" vertical="center" wrapText="1"/>
      <protection locked="0"/>
    </xf>
    <xf numFmtId="10" fontId="15" fillId="0" borderId="799" xfId="177" applyNumberFormat="1" applyFont="1" applyFill="1" applyBorder="1" applyAlignment="1" applyProtection="1">
      <alignment horizontal="right" vertical="center"/>
      <protection locked="0"/>
    </xf>
    <xf numFmtId="3" fontId="40" fillId="0" borderId="804" xfId="181" applyNumberFormat="1" applyFont="1" applyFill="1" applyBorder="1" applyAlignment="1" applyProtection="1">
      <alignment horizontal="right" vertical="center"/>
      <protection locked="0"/>
    </xf>
    <xf numFmtId="49" fontId="10" fillId="16" borderId="859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860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848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796" xfId="181" applyNumberFormat="1" applyFont="1" applyFill="1" applyBorder="1" applyAlignment="1" applyProtection="1">
      <alignment horizontal="right" vertical="center"/>
      <protection locked="0"/>
    </xf>
    <xf numFmtId="3" fontId="59" fillId="0" borderId="811" xfId="181" applyNumberFormat="1" applyFont="1" applyFill="1" applyBorder="1" applyAlignment="1" applyProtection="1">
      <alignment horizontal="right" vertical="center"/>
      <protection locked="0"/>
    </xf>
    <xf numFmtId="3" fontId="59" fillId="0" borderId="799" xfId="181" applyNumberFormat="1" applyFont="1" applyFill="1" applyBorder="1" applyAlignment="1" applyProtection="1">
      <alignment horizontal="right" vertical="center"/>
      <protection locked="0"/>
    </xf>
    <xf numFmtId="3" fontId="59" fillId="0" borderId="812" xfId="181" applyNumberFormat="1" applyFont="1" applyFill="1" applyBorder="1" applyAlignment="1" applyProtection="1">
      <alignment horizontal="right" vertical="center"/>
      <protection locked="0"/>
    </xf>
    <xf numFmtId="49" fontId="10" fillId="16" borderId="724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795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845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844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814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789" xfId="181" applyNumberFormat="1" applyFont="1" applyFill="1" applyBorder="1" applyAlignment="1" applyProtection="1">
      <alignment horizontal="left" vertical="center" wrapText="1"/>
      <protection locked="0"/>
    </xf>
    <xf numFmtId="3" fontId="40" fillId="0" borderId="720" xfId="181" applyNumberFormat="1" applyFont="1" applyFill="1" applyBorder="1" applyAlignment="1" applyProtection="1">
      <alignment horizontal="right" vertical="center"/>
      <protection locked="0"/>
    </xf>
    <xf numFmtId="49" fontId="10" fillId="16" borderId="844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787" xfId="181" applyNumberFormat="1" applyFont="1" applyFill="1" applyBorder="1" applyAlignment="1" applyProtection="1">
      <alignment horizontal="left" vertical="center" wrapText="1"/>
      <protection locked="0"/>
    </xf>
    <xf numFmtId="2" fontId="10" fillId="0" borderId="76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863" xfId="181" applyNumberFormat="1" applyFont="1" applyFill="1" applyBorder="1" applyAlignment="1" applyProtection="1">
      <alignment horizontal="left" vertical="center" wrapText="1"/>
      <protection locked="0"/>
    </xf>
    <xf numFmtId="49" fontId="53" fillId="0" borderId="557" xfId="181" applyNumberFormat="1" applyFont="1" applyFill="1" applyBorder="1" applyAlignment="1" applyProtection="1">
      <alignment horizontal="left" vertical="center" wrapText="1"/>
      <protection locked="0"/>
    </xf>
    <xf numFmtId="49" fontId="40" fillId="0" borderId="52" xfId="181" applyNumberFormat="1" applyFont="1" applyFill="1" applyBorder="1" applyAlignment="1" applyProtection="1">
      <alignment horizontal="center" vertical="center" wrapText="1"/>
      <protection locked="0"/>
    </xf>
    <xf numFmtId="49" fontId="57" fillId="20" borderId="129" xfId="181" applyNumberFormat="1" applyFont="1" applyFill="1" applyBorder="1" applyAlignment="1" applyProtection="1">
      <alignment horizontal="center" vertical="center" wrapText="1"/>
      <protection locked="0"/>
    </xf>
    <xf numFmtId="49" fontId="57" fillId="20" borderId="130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45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858" xfId="181" applyNumberFormat="1" applyFont="1" applyFill="1" applyBorder="1" applyAlignment="1" applyProtection="1">
      <alignment horizontal="left" vertical="center" wrapText="1"/>
      <protection locked="0"/>
    </xf>
    <xf numFmtId="49" fontId="54" fillId="20" borderId="128" xfId="181" applyNumberFormat="1" applyFont="1" applyFill="1" applyBorder="1" applyAlignment="1" applyProtection="1">
      <alignment horizontal="center" vertical="center" wrapText="1"/>
      <protection locked="0"/>
    </xf>
    <xf numFmtId="49" fontId="54" fillId="20" borderId="129" xfId="181" applyNumberFormat="1" applyFont="1" applyFill="1" applyBorder="1" applyAlignment="1" applyProtection="1">
      <alignment horizontal="center" vertical="center" wrapText="1"/>
      <protection locked="0"/>
    </xf>
    <xf numFmtId="49" fontId="54" fillId="20" borderId="130" xfId="181" applyNumberFormat="1" applyFont="1" applyFill="1" applyBorder="1" applyAlignment="1" applyProtection="1">
      <alignment horizontal="left" vertical="center" wrapText="1"/>
      <protection locked="0"/>
    </xf>
    <xf numFmtId="3" fontId="44" fillId="20" borderId="131" xfId="181" applyNumberFormat="1" applyFont="1" applyFill="1" applyBorder="1" applyAlignment="1" applyProtection="1">
      <alignment horizontal="right" vertical="center"/>
      <protection locked="0"/>
    </xf>
    <xf numFmtId="49" fontId="53" fillId="0" borderId="720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846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850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851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857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817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787" xfId="181" applyNumberFormat="1" applyFont="1" applyFill="1" applyBorder="1" applyAlignment="1" applyProtection="1">
      <alignment vertical="center" wrapText="1"/>
      <protection locked="0"/>
    </xf>
    <xf numFmtId="49" fontId="53" fillId="16" borderId="39" xfId="181" applyNumberFormat="1" applyFont="1" applyFill="1" applyBorder="1" applyAlignment="1" applyProtection="1">
      <alignment vertical="center" wrapText="1"/>
      <protection locked="0"/>
    </xf>
    <xf numFmtId="49" fontId="53" fillId="16" borderId="845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845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835" xfId="181" applyNumberFormat="1" applyFont="1" applyFill="1" applyBorder="1" applyAlignment="1" applyProtection="1">
      <alignment horizontal="right" vertical="center"/>
      <protection locked="0"/>
    </xf>
    <xf numFmtId="3" fontId="10" fillId="0" borderId="836" xfId="181" applyNumberFormat="1" applyFont="1" applyFill="1" applyBorder="1" applyAlignment="1" applyProtection="1">
      <alignment horizontal="right" vertical="center"/>
      <protection locked="0"/>
    </xf>
    <xf numFmtId="49" fontId="10" fillId="16" borderId="864" xfId="181" applyNumberFormat="1" applyFont="1" applyFill="1" applyBorder="1" applyAlignment="1" applyProtection="1">
      <alignment horizontal="center" vertical="center" wrapText="1"/>
      <protection locked="0"/>
    </xf>
    <xf numFmtId="3" fontId="10" fillId="0" borderId="837" xfId="181" applyNumberFormat="1" applyFont="1" applyFill="1" applyBorder="1" applyAlignment="1" applyProtection="1">
      <alignment horizontal="right" vertical="center"/>
      <protection locked="0"/>
    </xf>
    <xf numFmtId="10" fontId="10" fillId="0" borderId="837" xfId="177" applyNumberFormat="1" applyFont="1" applyFill="1" applyBorder="1" applyAlignment="1" applyProtection="1">
      <alignment horizontal="right" vertical="center"/>
      <protection locked="0"/>
    </xf>
    <xf numFmtId="3" fontId="10" fillId="0" borderId="865" xfId="181" applyNumberFormat="1" applyFont="1" applyFill="1" applyBorder="1" applyAlignment="1" applyProtection="1">
      <alignment horizontal="right" vertical="center"/>
      <protection locked="0"/>
    </xf>
    <xf numFmtId="49" fontId="15" fillId="0" borderId="846" xfId="181" applyNumberFormat="1" applyFont="1" applyFill="1" applyBorder="1" applyAlignment="1" applyProtection="1">
      <alignment horizontal="center" vertical="center" wrapText="1"/>
      <protection locked="0"/>
    </xf>
    <xf numFmtId="3" fontId="15" fillId="0" borderId="865" xfId="181" applyNumberFormat="1" applyFont="1" applyFill="1" applyBorder="1" applyAlignment="1" applyProtection="1">
      <alignment horizontal="right" vertical="center"/>
      <protection locked="0"/>
    </xf>
    <xf numFmtId="49" fontId="53" fillId="0" borderId="39" xfId="181" applyNumberFormat="1" applyFont="1" applyFill="1" applyBorder="1" applyAlignment="1" applyProtection="1">
      <alignment vertical="center" wrapText="1"/>
      <protection locked="0"/>
    </xf>
    <xf numFmtId="49" fontId="10" fillId="16" borderId="866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846" xfId="181" applyNumberFormat="1" applyFont="1" applyFill="1" applyBorder="1" applyAlignment="1" applyProtection="1">
      <alignment horizontal="center" vertical="center" wrapText="1"/>
      <protection locked="0"/>
    </xf>
    <xf numFmtId="3" fontId="53" fillId="0" borderId="865" xfId="181" applyNumberFormat="1" applyFont="1" applyFill="1" applyBorder="1" applyAlignment="1" applyProtection="1">
      <alignment horizontal="right" vertical="center"/>
      <protection locked="0"/>
    </xf>
    <xf numFmtId="49" fontId="53" fillId="16" borderId="857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795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867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557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686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686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868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787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868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869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870" xfId="181" applyNumberFormat="1" applyFont="1" applyFill="1" applyBorder="1" applyAlignment="1" applyProtection="1">
      <alignment horizontal="right" vertical="center"/>
      <protection locked="0"/>
    </xf>
    <xf numFmtId="49" fontId="10" fillId="16" borderId="871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77" xfId="181" applyNumberFormat="1" applyFont="1" applyFill="1" applyBorder="1" applyAlignment="1" applyProtection="1">
      <alignment horizontal="right" vertical="center"/>
      <protection locked="0"/>
    </xf>
    <xf numFmtId="49" fontId="54" fillId="19" borderId="555" xfId="181" applyNumberFormat="1" applyFont="1" applyFill="1" applyBorder="1" applyAlignment="1" applyProtection="1">
      <alignment horizontal="center" vertical="center" wrapText="1"/>
      <protection locked="0"/>
    </xf>
    <xf numFmtId="49" fontId="54" fillId="19" borderId="546" xfId="181" applyNumberFormat="1" applyFont="1" applyFill="1" applyBorder="1" applyAlignment="1" applyProtection="1">
      <alignment horizontal="left" vertical="center" wrapText="1"/>
      <protection locked="0"/>
    </xf>
    <xf numFmtId="3" fontId="54" fillId="20" borderId="547" xfId="181" applyNumberFormat="1" applyFont="1" applyFill="1" applyBorder="1" applyAlignment="1" applyProtection="1">
      <alignment horizontal="right" vertical="center"/>
      <protection locked="0"/>
    </xf>
    <xf numFmtId="3" fontId="44" fillId="0" borderId="835" xfId="181" applyNumberFormat="1" applyFont="1" applyFill="1" applyBorder="1" applyAlignment="1" applyProtection="1">
      <alignment horizontal="right" vertical="center"/>
      <protection locked="0"/>
    </xf>
    <xf numFmtId="3" fontId="53" fillId="0" borderId="835" xfId="181" applyNumberFormat="1" applyFont="1" applyFill="1" applyBorder="1" applyAlignment="1" applyProtection="1">
      <alignment horizontal="right" vertical="center"/>
      <protection locked="0"/>
    </xf>
    <xf numFmtId="49" fontId="54" fillId="19" borderId="846" xfId="181" applyNumberFormat="1" applyFont="1" applyFill="1" applyBorder="1" applyAlignment="1" applyProtection="1">
      <alignment horizontal="center" vertical="center" wrapText="1"/>
      <protection locked="0"/>
    </xf>
    <xf numFmtId="49" fontId="54" fillId="19" borderId="791" xfId="181" applyNumberFormat="1" applyFont="1" applyFill="1" applyBorder="1" applyAlignment="1" applyProtection="1">
      <alignment horizontal="left" vertical="center" wrapText="1"/>
      <protection locked="0"/>
    </xf>
    <xf numFmtId="3" fontId="54" fillId="20" borderId="835" xfId="181" applyNumberFormat="1" applyFont="1" applyFill="1" applyBorder="1" applyAlignment="1" applyProtection="1">
      <alignment horizontal="right" vertical="center"/>
      <protection locked="0"/>
    </xf>
    <xf numFmtId="49" fontId="53" fillId="16" borderId="800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847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33" xfId="181" applyNumberFormat="1" applyFont="1" applyFill="1" applyBorder="1" applyAlignment="1" applyProtection="1">
      <alignment vertical="center" wrapText="1"/>
      <protection locked="0"/>
    </xf>
    <xf numFmtId="49" fontId="53" fillId="16" borderId="850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851" xfId="181" applyNumberFormat="1" applyFont="1" applyFill="1" applyBorder="1" applyAlignment="1" applyProtection="1">
      <alignment horizontal="left" vertical="center" wrapText="1"/>
      <protection locked="0"/>
    </xf>
    <xf numFmtId="3" fontId="53" fillId="0" borderId="872" xfId="181" applyNumberFormat="1" applyFont="1" applyFill="1" applyBorder="1" applyAlignment="1" applyProtection="1">
      <alignment horizontal="right" vertical="center"/>
      <protection locked="0"/>
    </xf>
    <xf numFmtId="49" fontId="53" fillId="0" borderId="650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863" xfId="181" applyNumberFormat="1" applyFont="1" applyFill="1" applyBorder="1" applyAlignment="1" applyProtection="1">
      <alignment horizontal="left" vertical="center" wrapText="1"/>
      <protection locked="0"/>
    </xf>
    <xf numFmtId="49" fontId="40" fillId="0" borderId="39" xfId="181" applyNumberFormat="1" applyFont="1" applyFill="1" applyBorder="1" applyAlignment="1" applyProtection="1">
      <alignment horizontal="center" vertical="center" wrapText="1"/>
      <protection locked="0"/>
    </xf>
    <xf numFmtId="3" fontId="10" fillId="0" borderId="873" xfId="181" applyNumberFormat="1" applyFont="1" applyFill="1" applyBorder="1" applyAlignment="1" applyProtection="1">
      <alignment horizontal="right" vertical="center"/>
      <protection locked="0"/>
    </xf>
    <xf numFmtId="3" fontId="59" fillId="0" borderId="865" xfId="181" applyNumberFormat="1" applyFont="1" applyFill="1" applyBorder="1" applyAlignment="1" applyProtection="1">
      <alignment horizontal="right" vertical="center"/>
      <protection locked="0"/>
    </xf>
    <xf numFmtId="49" fontId="10" fillId="16" borderId="874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870" xfId="181" applyNumberFormat="1" applyFont="1" applyFill="1" applyBorder="1" applyAlignment="1" applyProtection="1">
      <alignment vertical="center" wrapText="1"/>
      <protection locked="0"/>
    </xf>
    <xf numFmtId="49" fontId="10" fillId="16" borderId="787" xfId="181" applyNumberFormat="1" applyFont="1" applyFill="1" applyBorder="1" applyAlignment="1" applyProtection="1">
      <alignment vertical="center" wrapText="1"/>
      <protection locked="0"/>
    </xf>
    <xf numFmtId="49" fontId="40" fillId="0" borderId="33" xfId="181" applyNumberFormat="1" applyFont="1" applyFill="1" applyBorder="1" applyAlignment="1" applyProtection="1">
      <alignment horizontal="center" vertical="center" wrapText="1"/>
      <protection locked="0"/>
    </xf>
    <xf numFmtId="3" fontId="10" fillId="0" borderId="872" xfId="181" applyNumberFormat="1" applyFont="1" applyFill="1" applyBorder="1" applyAlignment="1" applyProtection="1">
      <alignment horizontal="right" vertical="center"/>
      <protection locked="0"/>
    </xf>
    <xf numFmtId="3" fontId="59" fillId="0" borderId="875" xfId="181" applyNumberFormat="1" applyFont="1" applyFill="1" applyBorder="1" applyAlignment="1" applyProtection="1">
      <alignment horizontal="right" vertical="center"/>
      <protection locked="0"/>
    </xf>
    <xf numFmtId="49" fontId="10" fillId="16" borderId="876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700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482" xfId="181" applyNumberFormat="1" applyFont="1" applyFill="1" applyBorder="1" applyAlignment="1" applyProtection="1">
      <alignment horizontal="right" vertical="center"/>
      <protection locked="0"/>
    </xf>
    <xf numFmtId="49" fontId="10" fillId="16" borderId="800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845" xfId="181" applyNumberFormat="1" applyFont="1" applyFill="1" applyBorder="1" applyAlignment="1" applyProtection="1">
      <alignment horizontal="center" vertical="center" wrapText="1"/>
      <protection locked="0"/>
    </xf>
    <xf numFmtId="2" fontId="10" fillId="0" borderId="0" xfId="181" applyNumberFormat="1" applyFont="1" applyFill="1" applyBorder="1" applyAlignment="1" applyProtection="1">
      <alignment vertical="center" wrapText="1"/>
      <protection locked="0"/>
    </xf>
    <xf numFmtId="49" fontId="10" fillId="0" borderId="845" xfId="181" applyNumberFormat="1" applyFont="1" applyFill="1" applyBorder="1" applyAlignment="1" applyProtection="1">
      <alignment horizontal="center" vertical="center" wrapText="1"/>
      <protection locked="0"/>
    </xf>
    <xf numFmtId="49" fontId="10" fillId="0" borderId="869" xfId="181" applyNumberFormat="1" applyFont="1" applyFill="1" applyBorder="1" applyAlignment="1" applyProtection="1">
      <alignment horizontal="left" vertical="center" wrapText="1"/>
      <protection locked="0"/>
    </xf>
    <xf numFmtId="2" fontId="10" fillId="0" borderId="877" xfId="181" applyNumberFormat="1" applyFont="1" applyFill="1" applyBorder="1" applyAlignment="1" applyProtection="1">
      <alignment horizontal="left" vertical="center" wrapText="1"/>
      <protection locked="0"/>
    </xf>
    <xf numFmtId="2" fontId="10" fillId="0" borderId="557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639" xfId="181" applyNumberFormat="1" applyFont="1" applyFill="1" applyBorder="1" applyAlignment="1" applyProtection="1">
      <alignment horizontal="center" vertical="center" wrapText="1"/>
      <protection locked="0"/>
    </xf>
    <xf numFmtId="49" fontId="10" fillId="0" borderId="800" xfId="181" applyNumberFormat="1" applyFont="1" applyFill="1" applyBorder="1" applyAlignment="1" applyProtection="1">
      <alignment horizontal="center" vertical="center" wrapText="1"/>
      <protection locked="0"/>
    </xf>
    <xf numFmtId="2" fontId="10" fillId="0" borderId="869" xfId="181" applyNumberFormat="1" applyFont="1" applyFill="1" applyBorder="1" applyAlignment="1" applyProtection="1">
      <alignment horizontal="left" vertical="center" wrapText="1"/>
      <protection locked="0"/>
    </xf>
    <xf numFmtId="49" fontId="53" fillId="0" borderId="800" xfId="181" applyNumberFormat="1" applyFont="1" applyFill="1" applyBorder="1" applyAlignment="1" applyProtection="1">
      <alignment horizontal="center" vertical="center" wrapText="1"/>
      <protection locked="0"/>
    </xf>
    <xf numFmtId="49" fontId="53" fillId="21" borderId="846" xfId="181" applyNumberFormat="1" applyFont="1" applyFill="1" applyBorder="1" applyAlignment="1" applyProtection="1">
      <alignment horizontal="center" vertical="center" wrapText="1"/>
      <protection locked="0"/>
    </xf>
    <xf numFmtId="49" fontId="53" fillId="0" borderId="846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874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877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878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878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879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880" xfId="181" applyNumberFormat="1" applyFont="1" applyFill="1" applyBorder="1" applyAlignment="1" applyProtection="1">
      <alignment horizontal="right" vertical="center"/>
      <protection locked="0"/>
    </xf>
    <xf numFmtId="49" fontId="53" fillId="0" borderId="33" xfId="181" applyNumberFormat="1" applyFont="1" applyFill="1" applyBorder="1" applyAlignment="1" applyProtection="1">
      <alignment vertical="center" wrapText="1"/>
      <protection locked="0"/>
    </xf>
    <xf numFmtId="3" fontId="44" fillId="0" borderId="649" xfId="181" applyNumberFormat="1" applyFont="1" applyFill="1" applyBorder="1" applyAlignment="1" applyProtection="1">
      <alignment horizontal="right" vertical="center"/>
      <protection locked="0"/>
    </xf>
    <xf numFmtId="49" fontId="10" fillId="0" borderId="847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847" xfId="181" applyNumberFormat="1" applyFont="1" applyFill="1" applyBorder="1" applyAlignment="1" applyProtection="1">
      <alignment horizontal="center" vertical="center" wrapText="1"/>
      <protection locked="0"/>
    </xf>
    <xf numFmtId="2" fontId="10" fillId="0" borderId="857" xfId="181" applyNumberFormat="1" applyFont="1" applyFill="1" applyBorder="1" applyAlignment="1" applyProtection="1">
      <alignment horizontal="left" vertical="center" wrapText="1"/>
      <protection locked="0"/>
    </xf>
    <xf numFmtId="2" fontId="10" fillId="0" borderId="733" xfId="181" applyNumberFormat="1" applyFont="1" applyFill="1" applyBorder="1" applyAlignment="1" applyProtection="1">
      <alignment horizontal="left" vertical="center" wrapText="1"/>
      <protection locked="0"/>
    </xf>
    <xf numFmtId="49" fontId="53" fillId="0" borderId="797" xfId="181" applyNumberFormat="1" applyFont="1" applyFill="1" applyBorder="1" applyAlignment="1" applyProtection="1">
      <alignment horizontal="center" vertical="center" wrapText="1"/>
      <protection locked="0"/>
    </xf>
    <xf numFmtId="0" fontId="53" fillId="0" borderId="808" xfId="0" applyFont="1" applyBorder="1" applyAlignment="1">
      <alignment horizontal="left" vertical="center" wrapText="1"/>
    </xf>
    <xf numFmtId="49" fontId="53" fillId="0" borderId="835" xfId="181" applyNumberFormat="1" applyFont="1" applyFill="1" applyBorder="1" applyAlignment="1" applyProtection="1">
      <alignment horizontal="center" vertical="center" wrapText="1"/>
      <protection locked="0"/>
    </xf>
    <xf numFmtId="0" fontId="53" fillId="0" borderId="881" xfId="0" applyFont="1" applyBorder="1" applyAlignment="1">
      <alignment horizontal="left" vertical="center" wrapText="1"/>
    </xf>
    <xf numFmtId="0" fontId="53" fillId="0" borderId="113" xfId="0" applyFont="1" applyBorder="1" applyAlignment="1">
      <alignment horizontal="left" vertical="center" wrapText="1"/>
    </xf>
    <xf numFmtId="49" fontId="53" fillId="0" borderId="477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848" xfId="181" applyNumberFormat="1" applyFont="1" applyFill="1" applyBorder="1" applyAlignment="1" applyProtection="1">
      <alignment horizontal="left" vertical="center" wrapText="1"/>
      <protection locked="0"/>
    </xf>
    <xf numFmtId="10" fontId="53" fillId="0" borderId="875" xfId="177" applyNumberFormat="1" applyFont="1" applyFill="1" applyBorder="1" applyAlignment="1" applyProtection="1">
      <alignment horizontal="right" vertical="center"/>
      <protection locked="0"/>
    </xf>
    <xf numFmtId="49" fontId="40" fillId="17" borderId="30" xfId="181" applyNumberFormat="1" applyFont="1" applyFill="1" applyBorder="1" applyAlignment="1" applyProtection="1">
      <alignment horizontal="center" vertical="center" wrapText="1"/>
      <protection locked="0"/>
    </xf>
    <xf numFmtId="49" fontId="40" fillId="17" borderId="882" xfId="181" applyNumberFormat="1" applyFont="1" applyFill="1" applyBorder="1" applyAlignment="1" applyProtection="1">
      <alignment horizontal="center" vertical="center" wrapText="1"/>
      <protection locked="0"/>
    </xf>
    <xf numFmtId="49" fontId="40" fillId="17" borderId="699" xfId="181" applyNumberFormat="1" applyFont="1" applyFill="1" applyBorder="1" applyAlignment="1" applyProtection="1">
      <alignment horizontal="left" vertical="center" wrapText="1"/>
      <protection locked="0"/>
    </xf>
    <xf numFmtId="3" fontId="40" fillId="9" borderId="31" xfId="181" applyNumberFormat="1" applyFont="1" applyFill="1" applyBorder="1" applyAlignment="1" applyProtection="1">
      <alignment horizontal="right" vertical="center"/>
      <protection locked="0"/>
    </xf>
    <xf numFmtId="3" fontId="40" fillId="9" borderId="30" xfId="181" applyNumberFormat="1" applyFont="1" applyFill="1" applyBorder="1" applyAlignment="1" applyProtection="1">
      <alignment horizontal="right" vertical="center"/>
      <protection locked="0"/>
    </xf>
    <xf numFmtId="3" fontId="40" fillId="9" borderId="32" xfId="181" applyNumberFormat="1" applyFont="1" applyFill="1" applyBorder="1" applyAlignment="1" applyProtection="1">
      <alignment horizontal="right" vertical="center"/>
      <protection locked="0"/>
    </xf>
    <xf numFmtId="3" fontId="10" fillId="0" borderId="883" xfId="181" applyNumberFormat="1" applyFont="1" applyFill="1" applyBorder="1" applyAlignment="1" applyProtection="1">
      <alignment horizontal="right" vertical="center"/>
      <protection locked="0"/>
    </xf>
    <xf numFmtId="49" fontId="10" fillId="16" borderId="798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884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885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862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797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849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886" xfId="181" applyNumberFormat="1" applyFont="1" applyFill="1" applyBorder="1" applyAlignment="1" applyProtection="1">
      <alignment horizontal="center" vertical="center" wrapText="1"/>
      <protection locked="0"/>
    </xf>
    <xf numFmtId="3" fontId="53" fillId="0" borderId="796" xfId="181" applyNumberFormat="1" applyFont="1" applyFill="1" applyBorder="1" applyAlignment="1" applyProtection="1">
      <alignment horizontal="right" vertical="center"/>
      <protection locked="0"/>
    </xf>
    <xf numFmtId="3" fontId="40" fillId="0" borderId="880" xfId="181" applyNumberFormat="1" applyFont="1" applyFill="1" applyBorder="1" applyAlignment="1" applyProtection="1">
      <alignment horizontal="right" vertical="center"/>
      <protection locked="0"/>
    </xf>
    <xf numFmtId="3" fontId="40" fillId="0" borderId="883" xfId="181" applyNumberFormat="1" applyFont="1" applyFill="1" applyBorder="1" applyAlignment="1" applyProtection="1">
      <alignment horizontal="right" vertical="center"/>
      <protection locked="0"/>
    </xf>
    <xf numFmtId="3" fontId="10" fillId="0" borderId="835" xfId="181" applyNumberFormat="1" applyFont="1" applyFill="1" applyBorder="1" applyAlignment="1" applyProtection="1">
      <alignment vertical="center"/>
      <protection locked="0"/>
    </xf>
    <xf numFmtId="3" fontId="10" fillId="0" borderId="836" xfId="181" applyNumberFormat="1" applyFont="1" applyFill="1" applyBorder="1" applyAlignment="1" applyProtection="1">
      <alignment vertical="center"/>
      <protection locked="0"/>
    </xf>
    <xf numFmtId="3" fontId="59" fillId="0" borderId="835" xfId="181" applyNumberFormat="1" applyFont="1" applyFill="1" applyBorder="1" applyAlignment="1" applyProtection="1">
      <alignment vertical="center"/>
      <protection locked="0"/>
    </xf>
    <xf numFmtId="3" fontId="59" fillId="0" borderId="836" xfId="181" applyNumberFormat="1" applyFont="1" applyFill="1" applyBorder="1" applyAlignment="1" applyProtection="1">
      <alignment vertical="center"/>
      <protection locked="0"/>
    </xf>
    <xf numFmtId="3" fontId="15" fillId="0" borderId="887" xfId="182" applyNumberFormat="1" applyFont="1" applyBorder="1" applyAlignment="1">
      <alignment horizontal="right" vertical="center"/>
    </xf>
    <xf numFmtId="49" fontId="10" fillId="16" borderId="888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889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890" xfId="181" applyNumberFormat="1" applyFont="1" applyFill="1" applyBorder="1" applyAlignment="1" applyProtection="1">
      <alignment vertical="center"/>
      <protection locked="0"/>
    </xf>
    <xf numFmtId="3" fontId="10" fillId="0" borderId="891" xfId="181" applyNumberFormat="1" applyFont="1" applyFill="1" applyBorder="1" applyAlignment="1" applyProtection="1">
      <alignment horizontal="right" vertical="center"/>
      <protection locked="0"/>
    </xf>
    <xf numFmtId="10" fontId="10" fillId="0" borderId="891" xfId="177" applyNumberFormat="1" applyFont="1" applyFill="1" applyBorder="1" applyAlignment="1" applyProtection="1">
      <alignment horizontal="right" vertical="center"/>
      <protection locked="0"/>
    </xf>
    <xf numFmtId="49" fontId="10" fillId="16" borderId="892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893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894" xfId="181" applyNumberFormat="1" applyFont="1" applyFill="1" applyBorder="1" applyAlignment="1" applyProtection="1">
      <alignment horizontal="left" vertical="center" wrapText="1"/>
      <protection locked="0"/>
    </xf>
    <xf numFmtId="3" fontId="59" fillId="0" borderId="890" xfId="181" applyNumberFormat="1" applyFont="1" applyFill="1" applyBorder="1" applyAlignment="1" applyProtection="1">
      <alignment vertical="center"/>
      <protection locked="0"/>
    </xf>
    <xf numFmtId="3" fontId="59" fillId="0" borderId="896" xfId="181" applyNumberFormat="1" applyFont="1" applyFill="1" applyBorder="1" applyAlignment="1" applyProtection="1">
      <alignment vertical="center"/>
      <protection locked="0"/>
    </xf>
    <xf numFmtId="3" fontId="10" fillId="0" borderId="897" xfId="181" applyNumberFormat="1" applyFont="1" applyFill="1" applyBorder="1" applyAlignment="1" applyProtection="1">
      <alignment horizontal="right" vertical="center"/>
      <protection locked="0"/>
    </xf>
    <xf numFmtId="49" fontId="10" fillId="16" borderId="733" xfId="181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181" applyNumberFormat="1" applyFont="1" applyFill="1" applyBorder="1" applyAlignment="1" applyProtection="1">
      <alignment vertical="center"/>
      <protection locked="0"/>
    </xf>
    <xf numFmtId="49" fontId="10" fillId="16" borderId="898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899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900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887" xfId="181" applyNumberFormat="1" applyFont="1" applyFill="1" applyBorder="1" applyAlignment="1" applyProtection="1">
      <alignment horizontal="left" vertical="center" wrapText="1"/>
      <protection locked="0"/>
    </xf>
    <xf numFmtId="0" fontId="10" fillId="0" borderId="890" xfId="181" applyNumberFormat="1" applyFont="1" applyFill="1" applyBorder="1" applyAlignment="1" applyProtection="1">
      <alignment vertical="center"/>
      <protection locked="0"/>
    </xf>
    <xf numFmtId="0" fontId="10" fillId="0" borderId="829" xfId="181" applyNumberFormat="1" applyFont="1" applyFill="1" applyBorder="1" applyAlignment="1" applyProtection="1">
      <alignment vertical="center"/>
      <protection locked="0"/>
    </xf>
    <xf numFmtId="49" fontId="10" fillId="0" borderId="76" xfId="181" applyNumberFormat="1" applyFont="1" applyFill="1" applyBorder="1" applyAlignment="1" applyProtection="1">
      <alignment horizontal="center" vertical="center" wrapText="1"/>
      <protection locked="0"/>
    </xf>
    <xf numFmtId="49" fontId="10" fillId="0" borderId="562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901" xfId="182" applyNumberFormat="1" applyFont="1" applyBorder="1" applyAlignment="1">
      <alignment horizontal="right" vertical="center"/>
    </xf>
    <xf numFmtId="49" fontId="10" fillId="16" borderId="902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29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649" xfId="181" applyNumberFormat="1" applyFont="1" applyFill="1" applyBorder="1" applyAlignment="1" applyProtection="1">
      <alignment vertical="center"/>
      <protection locked="0"/>
    </xf>
    <xf numFmtId="3" fontId="15" fillId="0" borderId="903" xfId="182" applyNumberFormat="1" applyFont="1" applyBorder="1" applyAlignment="1">
      <alignment horizontal="right" vertical="center"/>
    </xf>
    <xf numFmtId="49" fontId="10" fillId="16" borderId="777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736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730" xfId="181" applyNumberFormat="1" applyFont="1" applyFill="1" applyBorder="1" applyAlignment="1" applyProtection="1">
      <alignment vertical="center"/>
      <protection locked="0"/>
    </xf>
    <xf numFmtId="3" fontId="15" fillId="0" borderId="904" xfId="182" applyNumberFormat="1" applyFont="1" applyBorder="1" applyAlignment="1">
      <alignment horizontal="right" vertical="center"/>
    </xf>
    <xf numFmtId="49" fontId="10" fillId="16" borderId="905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906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907" xfId="181" applyNumberFormat="1" applyFont="1" applyFill="1" applyBorder="1" applyAlignment="1" applyProtection="1">
      <alignment horizontal="right" vertical="center"/>
      <protection locked="0"/>
    </xf>
    <xf numFmtId="10" fontId="10" fillId="0" borderId="907" xfId="177" applyNumberFormat="1" applyFont="1" applyFill="1" applyBorder="1" applyAlignment="1" applyProtection="1">
      <alignment horizontal="right" vertical="center"/>
      <protection locked="0"/>
    </xf>
    <xf numFmtId="49" fontId="10" fillId="16" borderId="908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909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910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911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912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913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914" xfId="181" applyNumberFormat="1" applyFont="1" applyFill="1" applyBorder="1" applyAlignment="1" applyProtection="1">
      <alignment vertical="center"/>
      <protection locked="0"/>
    </xf>
    <xf numFmtId="49" fontId="10" fillId="16" borderId="915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916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829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917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918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919" xfId="181" applyNumberFormat="1" applyFont="1" applyFill="1" applyBorder="1" applyAlignment="1" applyProtection="1">
      <alignment horizontal="right" vertical="center"/>
      <protection locked="0"/>
    </xf>
    <xf numFmtId="10" fontId="10" fillId="0" borderId="919" xfId="177" applyNumberFormat="1" applyFont="1" applyFill="1" applyBorder="1" applyAlignment="1" applyProtection="1">
      <alignment horizontal="right" vertical="center"/>
      <protection locked="0"/>
    </xf>
    <xf numFmtId="49" fontId="10" fillId="16" borderId="920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921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922" xfId="181" applyNumberFormat="1" applyFont="1" applyFill="1" applyBorder="1" applyAlignment="1" applyProtection="1">
      <alignment horizontal="center" vertical="center" wrapText="1"/>
      <protection locked="0"/>
    </xf>
    <xf numFmtId="3" fontId="40" fillId="0" borderId="547" xfId="181" applyNumberFormat="1" applyFont="1" applyFill="1" applyBorder="1" applyAlignment="1" applyProtection="1">
      <alignment vertical="center"/>
      <protection locked="0"/>
    </xf>
    <xf numFmtId="3" fontId="40" fillId="0" borderId="41" xfId="181" applyNumberFormat="1" applyFont="1" applyFill="1" applyBorder="1" applyAlignment="1" applyProtection="1">
      <alignment vertical="center"/>
      <protection locked="0"/>
    </xf>
    <xf numFmtId="3" fontId="40" fillId="0" borderId="563" xfId="181" applyNumberFormat="1" applyFont="1" applyFill="1" applyBorder="1" applyAlignment="1" applyProtection="1">
      <alignment vertical="center"/>
      <protection locked="0"/>
    </xf>
    <xf numFmtId="10" fontId="40" fillId="0" borderId="907" xfId="177" applyNumberFormat="1" applyFont="1" applyFill="1" applyBorder="1" applyAlignment="1" applyProtection="1">
      <alignment horizontal="right" vertical="center"/>
      <protection locked="0"/>
    </xf>
    <xf numFmtId="3" fontId="10" fillId="0" borderId="907" xfId="181" applyNumberFormat="1" applyFont="1" applyFill="1" applyBorder="1" applyAlignment="1" applyProtection="1">
      <alignment vertical="center"/>
      <protection locked="0"/>
    </xf>
    <xf numFmtId="3" fontId="10" fillId="0" borderId="924" xfId="181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49" fontId="10" fillId="16" borderId="925" xfId="181" applyNumberFormat="1" applyFont="1" applyFill="1" applyBorder="1" applyAlignment="1" applyProtection="1">
      <alignment horizontal="center" vertical="center" wrapText="1"/>
      <protection locked="0"/>
    </xf>
    <xf numFmtId="0" fontId="10" fillId="0" borderId="918" xfId="0" applyFont="1" applyBorder="1" applyAlignment="1">
      <alignment horizontal="left" vertical="center" wrapText="1"/>
    </xf>
    <xf numFmtId="10" fontId="10" fillId="0" borderId="875" xfId="177" applyNumberFormat="1" applyFont="1" applyFill="1" applyBorder="1" applyAlignment="1" applyProtection="1">
      <alignment horizontal="right" vertical="center"/>
      <protection locked="0"/>
    </xf>
    <xf numFmtId="3" fontId="10" fillId="0" borderId="875" xfId="181" applyNumberFormat="1" applyFont="1" applyFill="1" applyBorder="1" applyAlignment="1" applyProtection="1">
      <alignment horizontal="right" vertical="center"/>
      <protection locked="0"/>
    </xf>
    <xf numFmtId="3" fontId="10" fillId="0" borderId="927" xfId="181" applyNumberFormat="1" applyFont="1" applyFill="1" applyBorder="1" applyAlignment="1" applyProtection="1">
      <alignment horizontal="right" vertical="center"/>
      <protection locked="0"/>
    </xf>
    <xf numFmtId="3" fontId="10" fillId="0" borderId="914" xfId="181" applyNumberFormat="1" applyFont="1" applyFill="1" applyBorder="1" applyAlignment="1" applyProtection="1">
      <alignment horizontal="right" vertical="center"/>
      <protection locked="0"/>
    </xf>
    <xf numFmtId="2" fontId="10" fillId="0" borderId="887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914" xfId="181" applyNumberFormat="1" applyFont="1" applyFill="1" applyBorder="1" applyAlignment="1" applyProtection="1">
      <alignment horizontal="center" vertical="center" wrapText="1"/>
      <protection locked="0"/>
    </xf>
    <xf numFmtId="2" fontId="10" fillId="0" borderId="928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890" xfId="181" applyNumberFormat="1" applyFont="1" applyFill="1" applyBorder="1" applyAlignment="1" applyProtection="1">
      <alignment horizontal="right" vertical="center"/>
      <protection locked="0"/>
    </xf>
    <xf numFmtId="2" fontId="10" fillId="0" borderId="829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929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930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931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932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933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934" xfId="181" applyNumberFormat="1" applyFont="1" applyFill="1" applyBorder="1" applyAlignment="1" applyProtection="1">
      <alignment horizontal="right" vertical="center"/>
      <protection locked="0"/>
    </xf>
    <xf numFmtId="3" fontId="10" fillId="0" borderId="935" xfId="181" applyNumberFormat="1" applyFont="1" applyFill="1" applyBorder="1" applyAlignment="1" applyProtection="1">
      <alignment horizontal="right" vertical="center"/>
      <protection locked="0"/>
    </xf>
    <xf numFmtId="49" fontId="10" fillId="16" borderId="692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730" xfId="181" applyNumberFormat="1" applyFont="1" applyFill="1" applyBorder="1" applyAlignment="1" applyProtection="1">
      <alignment horizontal="right" vertical="center"/>
      <protection locked="0"/>
    </xf>
    <xf numFmtId="3" fontId="10" fillId="0" borderId="936" xfId="181" applyNumberFormat="1" applyFont="1" applyFill="1" applyBorder="1" applyAlignment="1" applyProtection="1">
      <alignment horizontal="right" vertical="center"/>
      <protection locked="0"/>
    </xf>
    <xf numFmtId="49" fontId="10" fillId="0" borderId="49" xfId="181" applyNumberFormat="1" applyFont="1" applyFill="1" applyBorder="1" applyAlignment="1" applyProtection="1">
      <alignment horizontal="center" vertical="center" wrapText="1"/>
      <protection locked="0"/>
    </xf>
    <xf numFmtId="49" fontId="15" fillId="0" borderId="145" xfId="181" applyNumberFormat="1" applyFont="1" applyFill="1" applyBorder="1" applyAlignment="1" applyProtection="1">
      <alignment horizontal="center" vertical="center" wrapText="1"/>
      <protection locked="0"/>
    </xf>
    <xf numFmtId="49" fontId="15" fillId="0" borderId="395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914" xfId="181" applyNumberFormat="1" applyFont="1" applyFill="1" applyBorder="1" applyAlignment="1" applyProtection="1">
      <alignment horizontal="right" vertical="center"/>
      <protection locked="0"/>
    </xf>
    <xf numFmtId="3" fontId="15" fillId="0" borderId="907" xfId="181" applyNumberFormat="1" applyFont="1" applyFill="1" applyBorder="1" applyAlignment="1" applyProtection="1">
      <alignment horizontal="right" vertical="center"/>
      <protection locked="0"/>
    </xf>
    <xf numFmtId="3" fontId="15" fillId="0" borderId="836" xfId="181" applyNumberFormat="1" applyFont="1" applyFill="1" applyBorder="1" applyAlignment="1" applyProtection="1">
      <alignment horizontal="right" vertical="center"/>
      <protection locked="0"/>
    </xf>
    <xf numFmtId="10" fontId="15" fillId="0" borderId="907" xfId="177" applyNumberFormat="1" applyFont="1" applyFill="1" applyBorder="1" applyAlignment="1" applyProtection="1">
      <alignment horizontal="right" vertical="center"/>
      <protection locked="0"/>
    </xf>
    <xf numFmtId="3" fontId="48" fillId="0" borderId="914" xfId="181" applyNumberFormat="1" applyFont="1" applyFill="1" applyBorder="1" applyAlignment="1" applyProtection="1">
      <alignment horizontal="right" vertical="center"/>
      <protection locked="0"/>
    </xf>
    <xf numFmtId="3" fontId="48" fillId="0" borderId="907" xfId="181" applyNumberFormat="1" applyFont="1" applyFill="1" applyBorder="1" applyAlignment="1" applyProtection="1">
      <alignment horizontal="right" vertical="center"/>
      <protection locked="0"/>
    </xf>
    <xf numFmtId="3" fontId="48" fillId="0" borderId="836" xfId="181" applyNumberFormat="1" applyFont="1" applyFill="1" applyBorder="1" applyAlignment="1" applyProtection="1">
      <alignment horizontal="right" vertical="center"/>
      <protection locked="0"/>
    </xf>
    <xf numFmtId="10" fontId="48" fillId="0" borderId="907" xfId="177" applyNumberFormat="1" applyFont="1" applyFill="1" applyBorder="1" applyAlignment="1" applyProtection="1">
      <alignment horizontal="right" vertical="center"/>
      <protection locked="0"/>
    </xf>
    <xf numFmtId="49" fontId="15" fillId="16" borderId="915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916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924" xfId="181" applyNumberFormat="1" applyFont="1" applyFill="1" applyBorder="1" applyAlignment="1" applyProtection="1">
      <alignment horizontal="right" vertical="center"/>
      <protection locked="0"/>
    </xf>
    <xf numFmtId="3" fontId="15" fillId="0" borderId="829" xfId="181" applyNumberFormat="1" applyFont="1" applyFill="1" applyBorder="1" applyAlignment="1" applyProtection="1">
      <alignment horizontal="right" vertical="center"/>
      <protection locked="0"/>
    </xf>
    <xf numFmtId="49" fontId="15" fillId="16" borderId="937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917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918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920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921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900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887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914" xfId="181" applyNumberFormat="1" applyFont="1" applyFill="1" applyBorder="1" applyAlignment="1" applyProtection="1">
      <alignment vertical="center" wrapText="1"/>
      <protection locked="0"/>
    </xf>
    <xf numFmtId="49" fontId="15" fillId="16" borderId="829" xfId="181" applyNumberFormat="1" applyFont="1" applyFill="1" applyBorder="1" applyAlignment="1" applyProtection="1">
      <alignment vertical="center" wrapText="1"/>
      <protection locked="0"/>
    </xf>
    <xf numFmtId="10" fontId="15" fillId="0" borderId="936" xfId="177" applyNumberFormat="1" applyFont="1" applyFill="1" applyBorder="1" applyAlignment="1" applyProtection="1">
      <alignment horizontal="right" vertical="center"/>
      <protection locked="0"/>
    </xf>
    <xf numFmtId="49" fontId="15" fillId="0" borderId="916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938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939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934" xfId="181" applyNumberFormat="1" applyFont="1" applyFill="1" applyBorder="1" applyAlignment="1" applyProtection="1">
      <alignment horizontal="right" vertical="center"/>
      <protection locked="0"/>
    </xf>
    <xf numFmtId="3" fontId="15" fillId="0" borderId="935" xfId="181" applyNumberFormat="1" applyFont="1" applyFill="1" applyBorder="1" applyAlignment="1" applyProtection="1">
      <alignment horizontal="right" vertical="center"/>
      <protection locked="0"/>
    </xf>
    <xf numFmtId="49" fontId="15" fillId="16" borderId="940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941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942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29" xfId="181" applyNumberFormat="1" applyFont="1" applyFill="1" applyBorder="1" applyAlignment="1" applyProtection="1">
      <alignment vertical="center" wrapText="1"/>
      <protection locked="0"/>
    </xf>
    <xf numFmtId="3" fontId="48" fillId="0" borderId="50" xfId="181" applyNumberFormat="1" applyFont="1" applyFill="1" applyBorder="1" applyAlignment="1" applyProtection="1">
      <alignment horizontal="right" vertical="center"/>
      <protection locked="0"/>
    </xf>
    <xf numFmtId="3" fontId="48" fillId="0" borderId="51" xfId="181" applyNumberFormat="1" applyFont="1" applyFill="1" applyBorder="1" applyAlignment="1" applyProtection="1">
      <alignment horizontal="right" vertical="center"/>
      <protection locked="0"/>
    </xf>
    <xf numFmtId="3" fontId="48" fillId="0" borderId="293" xfId="181" applyNumberFormat="1" applyFont="1" applyFill="1" applyBorder="1" applyAlignment="1" applyProtection="1">
      <alignment horizontal="right" vertical="center"/>
      <protection locked="0"/>
    </xf>
    <xf numFmtId="10" fontId="48" fillId="0" borderId="51" xfId="177" applyNumberFormat="1" applyFont="1" applyFill="1" applyBorder="1" applyAlignment="1" applyProtection="1">
      <alignment horizontal="right" vertical="center"/>
      <protection locked="0"/>
    </xf>
    <xf numFmtId="49" fontId="15" fillId="0" borderId="941" xfId="181" applyNumberFormat="1" applyFont="1" applyFill="1" applyBorder="1" applyAlignment="1" applyProtection="1">
      <alignment horizontal="center" vertical="center" wrapText="1"/>
      <protection locked="0"/>
    </xf>
    <xf numFmtId="49" fontId="15" fillId="0" borderId="920" xfId="181" applyNumberFormat="1" applyFont="1" applyFill="1" applyBorder="1" applyAlignment="1" applyProtection="1">
      <alignment horizontal="center" vertical="center" wrapText="1"/>
      <protection locked="0"/>
    </xf>
    <xf numFmtId="3" fontId="15" fillId="0" borderId="945" xfId="181" applyNumberFormat="1" applyFont="1" applyFill="1" applyBorder="1" applyAlignment="1" applyProtection="1">
      <alignment horizontal="right" vertical="center"/>
      <protection locked="0"/>
    </xf>
    <xf numFmtId="3" fontId="15" fillId="0" borderId="946" xfId="181" applyNumberFormat="1" applyFont="1" applyFill="1" applyBorder="1" applyAlignment="1" applyProtection="1">
      <alignment horizontal="right" vertical="center"/>
      <protection locked="0"/>
    </xf>
    <xf numFmtId="49" fontId="15" fillId="16" borderId="947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948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949" xfId="181" applyNumberFormat="1" applyFont="1" applyFill="1" applyBorder="1" applyAlignment="1" applyProtection="1">
      <alignment horizontal="right" vertical="center"/>
      <protection locked="0"/>
    </xf>
    <xf numFmtId="3" fontId="53" fillId="0" borderId="907" xfId="181" applyNumberFormat="1" applyFont="1" applyFill="1" applyBorder="1" applyAlignment="1" applyProtection="1">
      <alignment horizontal="right" vertical="center"/>
      <protection locked="0"/>
    </xf>
    <xf numFmtId="3" fontId="53" fillId="0" borderId="949" xfId="181" applyNumberFormat="1" applyFont="1" applyFill="1" applyBorder="1" applyAlignment="1" applyProtection="1">
      <alignment horizontal="right" vertical="center"/>
      <protection locked="0"/>
    </xf>
    <xf numFmtId="10" fontId="53" fillId="0" borderId="907" xfId="177" applyNumberFormat="1" applyFont="1" applyFill="1" applyBorder="1" applyAlignment="1" applyProtection="1">
      <alignment horizontal="right" vertical="center"/>
      <protection locked="0"/>
    </xf>
    <xf numFmtId="3" fontId="27" fillId="0" borderId="945" xfId="181" applyNumberFormat="1" applyFont="1" applyFill="1" applyBorder="1" applyAlignment="1" applyProtection="1">
      <alignment horizontal="right" vertical="center"/>
      <protection locked="0"/>
    </xf>
    <xf numFmtId="3" fontId="27" fillId="0" borderId="907" xfId="181" applyNumberFormat="1" applyFont="1" applyFill="1" applyBorder="1" applyAlignment="1" applyProtection="1">
      <alignment horizontal="right" vertical="center"/>
      <protection locked="0"/>
    </xf>
    <xf numFmtId="3" fontId="27" fillId="0" borderId="836" xfId="181" applyNumberFormat="1" applyFont="1" applyFill="1" applyBorder="1" applyAlignment="1" applyProtection="1">
      <alignment horizontal="right" vertical="center"/>
      <protection locked="0"/>
    </xf>
    <xf numFmtId="10" fontId="27" fillId="0" borderId="907" xfId="177" applyNumberFormat="1" applyFont="1" applyFill="1" applyBorder="1" applyAlignment="1" applyProtection="1">
      <alignment horizontal="right" vertical="center"/>
      <protection locked="0"/>
    </xf>
    <xf numFmtId="49" fontId="15" fillId="16" borderId="951" xfId="181" applyNumberFormat="1" applyFont="1" applyFill="1" applyBorder="1" applyAlignment="1" applyProtection="1">
      <alignment horizontal="left" vertical="center" wrapText="1"/>
      <protection locked="0"/>
    </xf>
    <xf numFmtId="10" fontId="15" fillId="0" borderId="875" xfId="177" applyNumberFormat="1" applyFont="1" applyFill="1" applyBorder="1" applyAlignment="1" applyProtection="1">
      <alignment horizontal="right" vertical="center"/>
      <protection locked="0"/>
    </xf>
    <xf numFmtId="3" fontId="15" fillId="2" borderId="945" xfId="181" applyNumberFormat="1" applyFont="1" applyFill="1" applyBorder="1" applyAlignment="1" applyProtection="1">
      <alignment horizontal="right" vertical="center"/>
      <protection locked="0"/>
    </xf>
    <xf numFmtId="3" fontId="15" fillId="2" borderId="907" xfId="181" applyNumberFormat="1" applyFont="1" applyFill="1" applyBorder="1" applyAlignment="1" applyProtection="1">
      <alignment horizontal="right" vertical="center"/>
      <protection locked="0"/>
    </xf>
    <xf numFmtId="3" fontId="15" fillId="2" borderId="836" xfId="181" applyNumberFormat="1" applyFont="1" applyFill="1" applyBorder="1" applyAlignment="1" applyProtection="1">
      <alignment horizontal="right" vertical="center"/>
      <protection locked="0"/>
    </xf>
    <xf numFmtId="49" fontId="47" fillId="21" borderId="33" xfId="181" applyNumberFormat="1" applyFont="1" applyFill="1" applyBorder="1" applyAlignment="1" applyProtection="1">
      <alignment horizontal="center" vertical="center" wrapText="1"/>
      <protection locked="0"/>
    </xf>
    <xf numFmtId="49" fontId="15" fillId="21" borderId="431" xfId="181" applyNumberFormat="1" applyFont="1" applyFill="1" applyBorder="1" applyAlignment="1" applyProtection="1">
      <alignment horizontal="center" vertical="center" wrapText="1"/>
      <protection locked="0"/>
    </xf>
    <xf numFmtId="49" fontId="15" fillId="21" borderId="29" xfId="181" applyNumberFormat="1" applyFont="1" applyFill="1" applyBorder="1" applyAlignment="1" applyProtection="1">
      <alignment horizontal="left" vertical="center" wrapText="1"/>
      <protection locked="0"/>
    </xf>
    <xf numFmtId="3" fontId="15" fillId="2" borderId="34" xfId="181" applyNumberFormat="1" applyFont="1" applyFill="1" applyBorder="1" applyAlignment="1" applyProtection="1">
      <alignment horizontal="right" vertical="center"/>
      <protection locked="0"/>
    </xf>
    <xf numFmtId="49" fontId="54" fillId="21" borderId="547" xfId="181" applyNumberFormat="1" applyFont="1" applyFill="1" applyBorder="1" applyAlignment="1" applyProtection="1">
      <alignment horizontal="center" vertical="center" wrapText="1"/>
      <protection locked="0"/>
    </xf>
    <xf numFmtId="49" fontId="54" fillId="21" borderId="557" xfId="181" applyNumberFormat="1" applyFont="1" applyFill="1" applyBorder="1" applyAlignment="1" applyProtection="1">
      <alignment horizontal="left" vertical="center" wrapText="1"/>
      <protection locked="0"/>
    </xf>
    <xf numFmtId="3" fontId="44" fillId="2" borderId="547" xfId="181" applyNumberFormat="1" applyFont="1" applyFill="1" applyBorder="1" applyAlignment="1" applyProtection="1">
      <alignment horizontal="right" vertical="center"/>
      <protection locked="0"/>
    </xf>
    <xf numFmtId="3" fontId="53" fillId="0" borderId="945" xfId="181" applyNumberFormat="1" applyFont="1" applyFill="1" applyBorder="1" applyAlignment="1" applyProtection="1">
      <alignment horizontal="right" vertical="center"/>
      <protection locked="0"/>
    </xf>
    <xf numFmtId="49" fontId="53" fillId="16" borderId="952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953" xfId="181" applyNumberFormat="1" applyFont="1" applyFill="1" applyBorder="1" applyAlignment="1" applyProtection="1">
      <alignment horizontal="left" vertical="center" wrapText="1"/>
      <protection locked="0"/>
    </xf>
    <xf numFmtId="3" fontId="53" fillId="0" borderId="954" xfId="181" applyNumberFormat="1" applyFont="1" applyFill="1" applyBorder="1" applyAlignment="1" applyProtection="1">
      <alignment horizontal="right" vertical="center"/>
      <protection locked="0"/>
    </xf>
    <xf numFmtId="3" fontId="53" fillId="0" borderId="955" xfId="181" applyNumberFormat="1" applyFont="1" applyFill="1" applyBorder="1" applyAlignment="1" applyProtection="1">
      <alignment horizontal="right" vertical="center"/>
      <protection locked="0"/>
    </xf>
    <xf numFmtId="3" fontId="10" fillId="0" borderId="945" xfId="181" applyNumberFormat="1" applyFont="1" applyFill="1" applyBorder="1" applyAlignment="1" applyProtection="1">
      <alignment horizontal="right" vertical="center"/>
      <protection locked="0"/>
    </xf>
    <xf numFmtId="3" fontId="10" fillId="0" borderId="957" xfId="181" applyNumberFormat="1" applyFont="1" applyFill="1" applyBorder="1" applyAlignment="1" applyProtection="1">
      <alignment horizontal="right" vertical="center"/>
      <protection locked="0"/>
    </xf>
    <xf numFmtId="10" fontId="10" fillId="0" borderId="957" xfId="177" applyNumberFormat="1" applyFont="1" applyFill="1" applyBorder="1" applyAlignment="1" applyProtection="1">
      <alignment horizontal="right" vertical="center"/>
      <protection locked="0"/>
    </xf>
    <xf numFmtId="3" fontId="59" fillId="0" borderId="945" xfId="181" applyNumberFormat="1" applyFont="1" applyFill="1" applyBorder="1" applyAlignment="1" applyProtection="1">
      <alignment horizontal="right" vertical="center"/>
      <protection locked="0"/>
    </xf>
    <xf numFmtId="3" fontId="59" fillId="0" borderId="957" xfId="181" applyNumberFormat="1" applyFont="1" applyFill="1" applyBorder="1" applyAlignment="1" applyProtection="1">
      <alignment horizontal="right" vertical="center"/>
      <protection locked="0"/>
    </xf>
    <xf numFmtId="3" fontId="59" fillId="0" borderId="836" xfId="181" applyNumberFormat="1" applyFont="1" applyFill="1" applyBorder="1" applyAlignment="1" applyProtection="1">
      <alignment horizontal="right" vertical="center"/>
      <protection locked="0"/>
    </xf>
    <xf numFmtId="10" fontId="59" fillId="0" borderId="957" xfId="177" applyNumberFormat="1" applyFont="1" applyFill="1" applyBorder="1" applyAlignment="1" applyProtection="1">
      <alignment horizontal="right" vertical="center"/>
      <protection locked="0"/>
    </xf>
    <xf numFmtId="49" fontId="10" fillId="16" borderId="959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960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961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962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963" xfId="181" applyNumberFormat="1" applyFont="1" applyFill="1" applyBorder="1" applyAlignment="1" applyProtection="1">
      <alignment horizontal="right" vertical="center"/>
      <protection locked="0"/>
    </xf>
    <xf numFmtId="3" fontId="10" fillId="0" borderId="964" xfId="181" applyNumberFormat="1" applyFont="1" applyFill="1" applyBorder="1" applyAlignment="1" applyProtection="1">
      <alignment horizontal="right" vertical="center"/>
      <protection locked="0"/>
    </xf>
    <xf numFmtId="3" fontId="10" fillId="0" borderId="965" xfId="181" applyNumberFormat="1" applyFont="1" applyFill="1" applyBorder="1" applyAlignment="1" applyProtection="1">
      <alignment horizontal="right" vertical="center"/>
      <protection locked="0"/>
    </xf>
    <xf numFmtId="3" fontId="10" fillId="0" borderId="966" xfId="181" applyNumberFormat="1" applyFont="1" applyFill="1" applyBorder="1" applyAlignment="1" applyProtection="1">
      <alignment horizontal="right" vertical="center"/>
      <protection locked="0"/>
    </xf>
    <xf numFmtId="3" fontId="10" fillId="0" borderId="967" xfId="181" applyNumberFormat="1" applyFont="1" applyFill="1" applyBorder="1" applyAlignment="1" applyProtection="1">
      <alignment horizontal="right" vertical="center"/>
      <protection locked="0"/>
    </xf>
    <xf numFmtId="49" fontId="53" fillId="16" borderId="968" xfId="181" applyNumberFormat="1" applyFont="1" applyFill="1" applyBorder="1" applyAlignment="1" applyProtection="1">
      <alignment vertical="center" wrapText="1"/>
      <protection locked="0"/>
    </xf>
    <xf numFmtId="49" fontId="53" fillId="16" borderId="969" xfId="181" applyNumberFormat="1" applyFont="1" applyFill="1" applyBorder="1" applyAlignment="1" applyProtection="1">
      <alignment vertical="center" wrapText="1"/>
      <protection locked="0"/>
    </xf>
    <xf numFmtId="3" fontId="53" fillId="0" borderId="957" xfId="181" applyNumberFormat="1" applyFont="1" applyFill="1" applyBorder="1" applyAlignment="1" applyProtection="1">
      <alignment horizontal="right" vertical="center"/>
      <protection locked="0"/>
    </xf>
    <xf numFmtId="3" fontId="53" fillId="0" borderId="967" xfId="181" applyNumberFormat="1" applyFont="1" applyFill="1" applyBorder="1" applyAlignment="1" applyProtection="1">
      <alignment horizontal="right" vertical="center"/>
      <protection locked="0"/>
    </xf>
    <xf numFmtId="10" fontId="53" fillId="0" borderId="957" xfId="177" applyNumberFormat="1" applyFont="1" applyFill="1" applyBorder="1" applyAlignment="1" applyProtection="1">
      <alignment horizontal="right" vertical="center"/>
      <protection locked="0"/>
    </xf>
    <xf numFmtId="3" fontId="53" fillId="0" borderId="970" xfId="181" applyNumberFormat="1" applyFont="1" applyFill="1" applyBorder="1" applyAlignment="1" applyProtection="1">
      <alignment horizontal="right" vertical="center"/>
      <protection locked="0"/>
    </xf>
    <xf numFmtId="49" fontId="53" fillId="16" borderId="959" xfId="181" applyNumberFormat="1" applyFont="1" applyFill="1" applyBorder="1" applyAlignment="1" applyProtection="1">
      <alignment horizontal="center" vertical="center" wrapText="1"/>
      <protection locked="0"/>
    </xf>
    <xf numFmtId="2" fontId="53" fillId="0" borderId="76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960" xfId="181" applyNumberFormat="1" applyFont="1" applyFill="1" applyBorder="1" applyAlignment="1" applyProtection="1">
      <alignment horizontal="left" vertical="center" wrapText="1"/>
      <protection locked="0"/>
    </xf>
    <xf numFmtId="49" fontId="53" fillId="0" borderId="959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971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972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973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974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975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976" xfId="181" applyNumberFormat="1" applyFont="1" applyFill="1" applyBorder="1" applyAlignment="1" applyProtection="1">
      <alignment horizontal="left" vertical="center" wrapText="1"/>
      <protection locked="0"/>
    </xf>
    <xf numFmtId="3" fontId="53" fillId="0" borderId="978" xfId="181" applyNumberFormat="1" applyFont="1" applyFill="1" applyBorder="1" applyAlignment="1" applyProtection="1">
      <alignment horizontal="right" vertical="center"/>
      <protection locked="0"/>
    </xf>
    <xf numFmtId="3" fontId="53" fillId="0" borderId="980" xfId="181" applyNumberFormat="1" applyFont="1" applyFill="1" applyBorder="1" applyAlignment="1" applyProtection="1">
      <alignment horizontal="right" vertical="center"/>
      <protection locked="0"/>
    </xf>
    <xf numFmtId="49" fontId="53" fillId="16" borderId="981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982" xfId="181" applyNumberFormat="1" applyFont="1" applyFill="1" applyBorder="1" applyAlignment="1" applyProtection="1">
      <alignment horizontal="left" vertical="center" wrapText="1"/>
      <protection locked="0"/>
    </xf>
    <xf numFmtId="3" fontId="53" fillId="0" borderId="985" xfId="181" applyNumberFormat="1" applyFont="1" applyFill="1" applyBorder="1" applyAlignment="1" applyProtection="1">
      <alignment horizontal="right" vertical="center"/>
      <protection locked="0"/>
    </xf>
    <xf numFmtId="3" fontId="53" fillId="0" borderId="986" xfId="181" applyNumberFormat="1" applyFont="1" applyFill="1" applyBorder="1" applyAlignment="1" applyProtection="1">
      <alignment horizontal="right" vertical="center"/>
      <protection locked="0"/>
    </xf>
    <xf numFmtId="3" fontId="53" fillId="0" borderId="988" xfId="181" applyNumberFormat="1" applyFont="1" applyFill="1" applyBorder="1" applyAlignment="1" applyProtection="1">
      <alignment horizontal="right" vertical="center"/>
      <protection locked="0"/>
    </xf>
    <xf numFmtId="10" fontId="53" fillId="0" borderId="989" xfId="177" applyNumberFormat="1" applyFont="1" applyFill="1" applyBorder="1" applyAlignment="1" applyProtection="1">
      <alignment horizontal="right" vertical="center"/>
      <protection locked="0"/>
    </xf>
    <xf numFmtId="3" fontId="10" fillId="0" borderId="978" xfId="181" applyNumberFormat="1" applyFont="1" applyFill="1" applyBorder="1" applyAlignment="1" applyProtection="1">
      <alignment horizontal="right" vertical="center"/>
      <protection locked="0"/>
    </xf>
    <xf numFmtId="3" fontId="10" fillId="0" borderId="991" xfId="181" applyNumberFormat="1" applyFont="1" applyFill="1" applyBorder="1" applyAlignment="1" applyProtection="1">
      <alignment horizontal="right" vertical="center"/>
      <protection locked="0"/>
    </xf>
    <xf numFmtId="3" fontId="59" fillId="0" borderId="978" xfId="181" applyNumberFormat="1" applyFont="1" applyFill="1" applyBorder="1" applyAlignment="1" applyProtection="1">
      <alignment horizontal="right" vertical="center"/>
      <protection locked="0"/>
    </xf>
    <xf numFmtId="3" fontId="59" fillId="0" borderId="991" xfId="181" applyNumberFormat="1" applyFont="1" applyFill="1" applyBorder="1" applyAlignment="1" applyProtection="1">
      <alignment horizontal="right" vertical="center"/>
      <protection locked="0"/>
    </xf>
    <xf numFmtId="49" fontId="53" fillId="16" borderId="992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557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945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993" xfId="181" applyNumberFormat="1" applyFont="1" applyFill="1" applyBorder="1" applyAlignment="1" applyProtection="1">
      <alignment horizontal="left" vertical="center" wrapText="1"/>
      <protection locked="0"/>
    </xf>
    <xf numFmtId="3" fontId="59" fillId="0" borderId="914" xfId="181" applyNumberFormat="1" applyFont="1" applyFill="1" applyBorder="1" applyAlignment="1" applyProtection="1">
      <alignment horizontal="right" vertical="center"/>
      <protection locked="0"/>
    </xf>
    <xf numFmtId="49" fontId="10" fillId="16" borderId="941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942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994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995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996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829" xfId="181" applyNumberFormat="1" applyFont="1" applyFill="1" applyBorder="1" applyAlignment="1" applyProtection="1">
      <alignment horizontal="center" vertical="center" wrapText="1"/>
      <protection locked="0"/>
    </xf>
    <xf numFmtId="3" fontId="53" fillId="0" borderId="919" xfId="181" applyNumberFormat="1" applyFont="1" applyFill="1" applyBorder="1" applyAlignment="1" applyProtection="1">
      <alignment horizontal="right" vertical="center"/>
      <protection locked="0"/>
    </xf>
    <xf numFmtId="10" fontId="53" fillId="0" borderId="919" xfId="177" applyNumberFormat="1" applyFont="1" applyFill="1" applyBorder="1" applyAlignment="1" applyProtection="1">
      <alignment horizontal="right" vertical="center"/>
      <protection locked="0"/>
    </xf>
    <xf numFmtId="49" fontId="10" fillId="16" borderId="997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998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999" xfId="181" applyNumberFormat="1" applyFont="1" applyFill="1" applyBorder="1" applyAlignment="1" applyProtection="1">
      <alignment horizontal="right" vertical="center"/>
      <protection locked="0"/>
    </xf>
    <xf numFmtId="3" fontId="10" fillId="0" borderId="955" xfId="181" applyNumberFormat="1" applyFont="1" applyFill="1" applyBorder="1" applyAlignment="1" applyProtection="1">
      <alignment horizontal="right" vertical="center"/>
      <protection locked="0"/>
    </xf>
    <xf numFmtId="3" fontId="10" fillId="0" borderId="988" xfId="181" applyNumberFormat="1" applyFont="1" applyFill="1" applyBorder="1" applyAlignment="1" applyProtection="1">
      <alignment horizontal="right" vertical="center"/>
      <protection locked="0"/>
    </xf>
    <xf numFmtId="3" fontId="59" fillId="0" borderId="1001" xfId="181" applyNumberFormat="1" applyFont="1" applyFill="1" applyBorder="1" applyAlignment="1" applyProtection="1">
      <alignment horizontal="right" vertical="center"/>
      <protection locked="0"/>
    </xf>
    <xf numFmtId="3" fontId="59" fillId="0" borderId="1002" xfId="181" applyNumberFormat="1" applyFont="1" applyFill="1" applyBorder="1" applyAlignment="1" applyProtection="1">
      <alignment horizontal="right" vertical="center"/>
      <protection locked="0"/>
    </xf>
    <xf numFmtId="49" fontId="10" fillId="16" borderId="1003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004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1001" xfId="181" applyNumberFormat="1" applyFont="1" applyFill="1" applyBorder="1" applyAlignment="1" applyProtection="1">
      <alignment horizontal="right" vertical="center"/>
      <protection locked="0"/>
    </xf>
    <xf numFmtId="3" fontId="10" fillId="0" borderId="1005" xfId="181" applyNumberFormat="1" applyFont="1" applyFill="1" applyBorder="1" applyAlignment="1" applyProtection="1">
      <alignment horizontal="right" vertical="center"/>
      <protection locked="0"/>
    </xf>
    <xf numFmtId="49" fontId="10" fillId="16" borderId="33" xfId="181" applyNumberFormat="1" applyFont="1" applyFill="1" applyBorder="1" applyAlignment="1" applyProtection="1">
      <alignment vertical="center" wrapText="1"/>
      <protection locked="0"/>
    </xf>
    <xf numFmtId="49" fontId="10" fillId="16" borderId="30" xfId="181" applyNumberFormat="1" applyFont="1" applyFill="1" applyBorder="1" applyAlignment="1" applyProtection="1">
      <alignment vertical="center" wrapText="1"/>
      <protection locked="0"/>
    </xf>
    <xf numFmtId="3" fontId="10" fillId="0" borderId="293" xfId="181" applyNumberFormat="1" applyFont="1" applyFill="1" applyBorder="1" applyAlignment="1" applyProtection="1">
      <alignment horizontal="right" vertical="center"/>
      <protection locked="0"/>
    </xf>
    <xf numFmtId="49" fontId="10" fillId="16" borderId="158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395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34" xfId="181" applyNumberFormat="1" applyFont="1" applyFill="1" applyBorder="1" applyAlignment="1" applyProtection="1">
      <alignment horizontal="right" vertical="center"/>
      <protection locked="0"/>
    </xf>
    <xf numFmtId="3" fontId="10" fillId="0" borderId="1008" xfId="181" applyNumberFormat="1" applyFont="1" applyFill="1" applyBorder="1" applyAlignment="1" applyProtection="1">
      <alignment horizontal="right" vertical="center"/>
      <protection locked="0"/>
    </xf>
    <xf numFmtId="49" fontId="53" fillId="16" borderId="214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1009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1010" xfId="181" applyNumberFormat="1" applyFont="1" applyFill="1" applyBorder="1" applyAlignment="1" applyProtection="1">
      <alignment horizontal="left" vertical="center" wrapText="1"/>
      <protection locked="0"/>
    </xf>
    <xf numFmtId="3" fontId="53" fillId="0" borderId="875" xfId="181" applyNumberFormat="1" applyFont="1" applyFill="1" applyBorder="1" applyAlignment="1" applyProtection="1">
      <alignment horizontal="right" vertical="center"/>
      <protection locked="0"/>
    </xf>
    <xf numFmtId="49" fontId="27" fillId="15" borderId="131" xfId="181" applyNumberFormat="1" applyFont="1" applyFill="1" applyBorder="1" applyAlignment="1" applyProtection="1">
      <alignment horizontal="center" vertical="center" wrapText="1"/>
      <protection locked="0"/>
    </xf>
    <xf numFmtId="49" fontId="27" fillId="15" borderId="30" xfId="181" applyNumberFormat="1" applyFont="1" applyFill="1" applyBorder="1" applyAlignment="1" applyProtection="1">
      <alignment horizontal="center" vertical="center" wrapText="1"/>
      <protection locked="0"/>
    </xf>
    <xf numFmtId="49" fontId="27" fillId="15" borderId="68" xfId="181" applyNumberFormat="1" applyFont="1" applyFill="1" applyBorder="1" applyAlignment="1" applyProtection="1">
      <alignment horizontal="center" vertical="center" wrapText="1"/>
      <protection locked="0"/>
    </xf>
    <xf numFmtId="49" fontId="27" fillId="15" borderId="69" xfId="181" applyNumberFormat="1" applyFont="1" applyFill="1" applyBorder="1" applyAlignment="1" applyProtection="1">
      <alignment horizontal="left" vertical="center" wrapText="1"/>
      <protection locked="0"/>
    </xf>
    <xf numFmtId="3" fontId="27" fillId="8" borderId="131" xfId="181" applyNumberFormat="1" applyFont="1" applyFill="1" applyBorder="1" applyAlignment="1" applyProtection="1">
      <alignment horizontal="right" vertical="center"/>
      <protection locked="0"/>
    </xf>
    <xf numFmtId="3" fontId="27" fillId="8" borderId="128" xfId="181" applyNumberFormat="1" applyFont="1" applyFill="1" applyBorder="1" applyAlignment="1" applyProtection="1">
      <alignment horizontal="right" vertical="center"/>
      <protection locked="0"/>
    </xf>
    <xf numFmtId="3" fontId="27" fillId="8" borderId="132" xfId="181" applyNumberFormat="1" applyFont="1" applyFill="1" applyBorder="1" applyAlignment="1" applyProtection="1">
      <alignment horizontal="right" vertical="center"/>
      <protection locked="0"/>
    </xf>
    <xf numFmtId="10" fontId="27" fillId="0" borderId="1011" xfId="177" applyNumberFormat="1" applyFont="1" applyFill="1" applyBorder="1" applyAlignment="1" applyProtection="1">
      <alignment horizontal="right" vertical="center"/>
      <protection locked="0"/>
    </xf>
    <xf numFmtId="3" fontId="15" fillId="0" borderId="1013" xfId="181" applyNumberFormat="1" applyFont="1" applyFill="1" applyBorder="1" applyAlignment="1" applyProtection="1">
      <alignment horizontal="right" vertical="center"/>
      <protection locked="0"/>
    </xf>
    <xf numFmtId="3" fontId="15" fillId="0" borderId="1011" xfId="181" applyNumberFormat="1" applyFont="1" applyFill="1" applyBorder="1" applyAlignment="1" applyProtection="1">
      <alignment horizontal="right" vertical="center"/>
      <protection locked="0"/>
    </xf>
    <xf numFmtId="3" fontId="15" fillId="0" borderId="1014" xfId="181" applyNumberFormat="1" applyFont="1" applyFill="1" applyBorder="1" applyAlignment="1" applyProtection="1">
      <alignment horizontal="right" vertical="center"/>
      <protection locked="0"/>
    </xf>
    <xf numFmtId="3" fontId="15" fillId="0" borderId="991" xfId="181" applyNumberFormat="1" applyFont="1" applyFill="1" applyBorder="1" applyAlignment="1" applyProtection="1">
      <alignment horizontal="right" vertical="center"/>
      <protection locked="0"/>
    </xf>
    <xf numFmtId="49" fontId="15" fillId="16" borderId="1015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016" xfId="181" applyNumberFormat="1" applyFont="1" applyFill="1" applyBorder="1" applyAlignment="1" applyProtection="1">
      <alignment horizontal="left" vertical="center" wrapText="1"/>
      <protection locked="0"/>
    </xf>
    <xf numFmtId="10" fontId="27" fillId="0" borderId="875" xfId="177" applyNumberFormat="1" applyFont="1" applyFill="1" applyBorder="1" applyAlignment="1" applyProtection="1">
      <alignment horizontal="right" vertical="center"/>
      <protection locked="0"/>
    </xf>
    <xf numFmtId="3" fontId="15" fillId="0" borderId="1017" xfId="181" applyNumberFormat="1" applyFont="1" applyFill="1" applyBorder="1" applyAlignment="1" applyProtection="1">
      <alignment horizontal="right" vertical="center"/>
      <protection locked="0"/>
    </xf>
    <xf numFmtId="3" fontId="15" fillId="0" borderId="875" xfId="181" applyNumberFormat="1" applyFont="1" applyFill="1" applyBorder="1" applyAlignment="1" applyProtection="1">
      <alignment horizontal="right" vertical="center"/>
      <protection locked="0"/>
    </xf>
    <xf numFmtId="3" fontId="15" fillId="0" borderId="927" xfId="181" applyNumberFormat="1" applyFont="1" applyFill="1" applyBorder="1" applyAlignment="1" applyProtection="1">
      <alignment horizontal="right" vertical="center"/>
      <protection locked="0"/>
    </xf>
    <xf numFmtId="3" fontId="15" fillId="2" borderId="1018" xfId="181" applyNumberFormat="1" applyFont="1" applyFill="1" applyBorder="1" applyAlignment="1" applyProtection="1">
      <alignment horizontal="right" vertical="center"/>
      <protection locked="0"/>
    </xf>
    <xf numFmtId="3" fontId="15" fillId="2" borderId="54" xfId="181" applyNumberFormat="1" applyFont="1" applyFill="1" applyBorder="1" applyAlignment="1" applyProtection="1">
      <alignment horizontal="right" vertical="center"/>
      <protection locked="0"/>
    </xf>
    <xf numFmtId="3" fontId="15" fillId="2" borderId="1019" xfId="181" applyNumberFormat="1" applyFont="1" applyFill="1" applyBorder="1" applyAlignment="1" applyProtection="1">
      <alignment horizontal="right" vertical="center"/>
      <protection locked="0"/>
    </xf>
    <xf numFmtId="3" fontId="27" fillId="2" borderId="52" xfId="181" applyNumberFormat="1" applyFont="1" applyFill="1" applyBorder="1" applyAlignment="1" applyProtection="1">
      <alignment horizontal="right" vertical="center"/>
      <protection locked="0"/>
    </xf>
    <xf numFmtId="3" fontId="27" fillId="2" borderId="39" xfId="181" applyNumberFormat="1" applyFont="1" applyFill="1" applyBorder="1" applyAlignment="1" applyProtection="1">
      <alignment horizontal="right" vertical="center"/>
      <protection locked="0"/>
    </xf>
    <xf numFmtId="3" fontId="27" fillId="2" borderId="49" xfId="181" applyNumberFormat="1" applyFont="1" applyFill="1" applyBorder="1" applyAlignment="1" applyProtection="1">
      <alignment horizontal="right" vertical="center"/>
      <protection locked="0"/>
    </xf>
    <xf numFmtId="10" fontId="15" fillId="0" borderId="1011" xfId="177" applyNumberFormat="1" applyFont="1" applyFill="1" applyBorder="1" applyAlignment="1" applyProtection="1">
      <alignment horizontal="right" vertical="center"/>
      <protection locked="0"/>
    </xf>
    <xf numFmtId="49" fontId="15" fillId="16" borderId="1021" xfId="181" applyNumberFormat="1" applyFont="1" applyFill="1" applyBorder="1" applyAlignment="1" applyProtection="1">
      <alignment horizontal="center" vertical="center" wrapText="1"/>
      <protection locked="0"/>
    </xf>
    <xf numFmtId="3" fontId="15" fillId="2" borderId="999" xfId="181" applyNumberFormat="1" applyFont="1" applyFill="1" applyBorder="1" applyAlignment="1" applyProtection="1">
      <alignment horizontal="right" vertical="center"/>
      <protection locked="0"/>
    </xf>
    <xf numFmtId="3" fontId="15" fillId="0" borderId="967" xfId="181" applyNumberFormat="1" applyFont="1" applyFill="1" applyBorder="1" applyAlignment="1" applyProtection="1">
      <alignment horizontal="right" vertical="center"/>
      <protection locked="0"/>
    </xf>
    <xf numFmtId="10" fontId="15" fillId="0" borderId="1022" xfId="177" applyNumberFormat="1" applyFont="1" applyFill="1" applyBorder="1" applyAlignment="1" applyProtection="1">
      <alignment horizontal="right" vertical="center"/>
      <protection locked="0"/>
    </xf>
    <xf numFmtId="49" fontId="15" fillId="21" borderId="52" xfId="181" applyNumberFormat="1" applyFont="1" applyFill="1" applyBorder="1" applyAlignment="1" applyProtection="1">
      <alignment horizontal="center" vertical="center" wrapText="1"/>
      <protection locked="0"/>
    </xf>
    <xf numFmtId="3" fontId="48" fillId="0" borderId="1013" xfId="181" applyNumberFormat="1" applyFont="1" applyFill="1" applyBorder="1" applyAlignment="1" applyProtection="1">
      <alignment horizontal="right" vertical="center"/>
      <protection locked="0"/>
    </xf>
    <xf numFmtId="3" fontId="48" fillId="0" borderId="1011" xfId="181" applyNumberFormat="1" applyFont="1" applyFill="1" applyBorder="1" applyAlignment="1" applyProtection="1">
      <alignment horizontal="right" vertical="center"/>
      <protection locked="0"/>
    </xf>
    <xf numFmtId="3" fontId="48" fillId="0" borderId="991" xfId="181" applyNumberFormat="1" applyFont="1" applyFill="1" applyBorder="1" applyAlignment="1" applyProtection="1">
      <alignment horizontal="right" vertical="center"/>
      <protection locked="0"/>
    </xf>
    <xf numFmtId="10" fontId="48" fillId="0" borderId="1011" xfId="177" applyNumberFormat="1" applyFont="1" applyFill="1" applyBorder="1" applyAlignment="1" applyProtection="1">
      <alignment horizontal="right" vertical="center"/>
      <protection locked="0"/>
    </xf>
    <xf numFmtId="49" fontId="15" fillId="16" borderId="1024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020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1025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023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1026" xfId="181" applyNumberFormat="1" applyFont="1" applyFill="1" applyBorder="1" applyAlignment="1" applyProtection="1">
      <alignment horizontal="right" vertical="center"/>
      <protection locked="0"/>
    </xf>
    <xf numFmtId="3" fontId="15" fillId="0" borderId="1027" xfId="181" applyNumberFormat="1" applyFont="1" applyFill="1" applyBorder="1" applyAlignment="1" applyProtection="1">
      <alignment horizontal="right" vertical="center"/>
      <protection locked="0"/>
    </xf>
    <xf numFmtId="3" fontId="15" fillId="0" borderId="1028" xfId="181" applyNumberFormat="1" applyFont="1" applyFill="1" applyBorder="1" applyAlignment="1" applyProtection="1">
      <alignment horizontal="right" vertical="center"/>
      <protection locked="0"/>
    </xf>
    <xf numFmtId="10" fontId="15" fillId="0" borderId="1027" xfId="177" applyNumberFormat="1" applyFont="1" applyFill="1" applyBorder="1" applyAlignment="1" applyProtection="1">
      <alignment horizontal="right" vertical="center"/>
      <protection locked="0"/>
    </xf>
    <xf numFmtId="49" fontId="15" fillId="0" borderId="1029" xfId="181" applyNumberFormat="1" applyFont="1" applyFill="1" applyBorder="1" applyAlignment="1" applyProtection="1">
      <alignment horizontal="center" vertical="center" wrapText="1"/>
      <protection locked="0"/>
    </xf>
    <xf numFmtId="49" fontId="15" fillId="0" borderId="967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970" xfId="181" applyNumberFormat="1" applyFont="1" applyFill="1" applyBorder="1" applyAlignment="1" applyProtection="1">
      <alignment horizontal="right" vertical="center"/>
      <protection locked="0"/>
    </xf>
    <xf numFmtId="3" fontId="15" fillId="0" borderId="1022" xfId="181" applyNumberFormat="1" applyFont="1" applyFill="1" applyBorder="1" applyAlignment="1" applyProtection="1">
      <alignment horizontal="right" vertical="center"/>
      <protection locked="0"/>
    </xf>
    <xf numFmtId="3" fontId="48" fillId="0" borderId="970" xfId="181" applyNumberFormat="1" applyFont="1" applyFill="1" applyBorder="1" applyAlignment="1" applyProtection="1">
      <alignment horizontal="right" vertical="center"/>
      <protection locked="0"/>
    </xf>
    <xf numFmtId="3" fontId="48" fillId="0" borderId="1022" xfId="181" applyNumberFormat="1" applyFont="1" applyFill="1" applyBorder="1" applyAlignment="1" applyProtection="1">
      <alignment horizontal="right" vertical="center"/>
      <protection locked="0"/>
    </xf>
    <xf numFmtId="3" fontId="48" fillId="0" borderId="927" xfId="181" applyNumberFormat="1" applyFont="1" applyFill="1" applyBorder="1" applyAlignment="1" applyProtection="1">
      <alignment horizontal="right" vertical="center"/>
      <protection locked="0"/>
    </xf>
    <xf numFmtId="49" fontId="15" fillId="16" borderId="1030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29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1018" xfId="181" applyNumberFormat="1" applyFont="1" applyFill="1" applyBorder="1" applyAlignment="1" applyProtection="1">
      <alignment horizontal="right" vertical="center"/>
      <protection locked="0"/>
    </xf>
    <xf numFmtId="3" fontId="15" fillId="0" borderId="1031" xfId="181" applyNumberFormat="1" applyFont="1" applyFill="1" applyBorder="1" applyAlignment="1" applyProtection="1">
      <alignment horizontal="right" vertical="center"/>
      <protection locked="0"/>
    </xf>
    <xf numFmtId="3" fontId="15" fillId="0" borderId="1033" xfId="181" applyNumberFormat="1" applyFont="1" applyFill="1" applyBorder="1" applyAlignment="1" applyProtection="1">
      <alignment horizontal="right" vertical="center"/>
      <protection locked="0"/>
    </xf>
    <xf numFmtId="3" fontId="15" fillId="0" borderId="1034" xfId="181" applyNumberFormat="1" applyFont="1" applyFill="1" applyBorder="1" applyAlignment="1" applyProtection="1">
      <alignment horizontal="right" vertical="center"/>
      <protection locked="0"/>
    </xf>
    <xf numFmtId="3" fontId="15" fillId="0" borderId="1035" xfId="181" applyNumberFormat="1" applyFont="1" applyFill="1" applyBorder="1" applyAlignment="1" applyProtection="1">
      <alignment horizontal="right" vertical="center"/>
      <protection locked="0"/>
    </xf>
    <xf numFmtId="10" fontId="15" fillId="0" borderId="1034" xfId="177" applyNumberFormat="1" applyFont="1" applyFill="1" applyBorder="1" applyAlignment="1" applyProtection="1">
      <alignment horizontal="right" vertical="center"/>
      <protection locked="0"/>
    </xf>
    <xf numFmtId="49" fontId="15" fillId="16" borderId="1036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032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1038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039" xfId="181" applyNumberFormat="1" applyFont="1" applyFill="1" applyBorder="1" applyAlignment="1" applyProtection="1">
      <alignment horizontal="left" vertical="center" wrapText="1"/>
      <protection locked="0"/>
    </xf>
    <xf numFmtId="3" fontId="15" fillId="2" borderId="1033" xfId="181" applyNumberFormat="1" applyFont="1" applyFill="1" applyBorder="1" applyAlignment="1" applyProtection="1">
      <alignment horizontal="right" vertical="center"/>
      <protection locked="0"/>
    </xf>
    <xf numFmtId="3" fontId="15" fillId="0" borderId="1040" xfId="181" applyNumberFormat="1" applyFont="1" applyFill="1" applyBorder="1" applyAlignment="1" applyProtection="1">
      <alignment horizontal="right" vertical="center"/>
      <protection locked="0"/>
    </xf>
    <xf numFmtId="3" fontId="15" fillId="0" borderId="1041" xfId="181" applyNumberFormat="1" applyFont="1" applyFill="1" applyBorder="1" applyAlignment="1" applyProtection="1">
      <alignment horizontal="right" vertical="center"/>
      <protection locked="0"/>
    </xf>
    <xf numFmtId="10" fontId="15" fillId="0" borderId="1040" xfId="177" applyNumberFormat="1" applyFont="1" applyFill="1" applyBorder="1" applyAlignment="1" applyProtection="1">
      <alignment horizontal="right" vertical="center"/>
      <protection locked="0"/>
    </xf>
    <xf numFmtId="3" fontId="47" fillId="20" borderId="1042" xfId="181" applyNumberFormat="1" applyFont="1" applyFill="1" applyBorder="1" applyAlignment="1" applyProtection="1">
      <alignment horizontal="right" vertical="center"/>
      <protection locked="0"/>
    </xf>
    <xf numFmtId="3" fontId="47" fillId="20" borderId="1043" xfId="181" applyNumberFormat="1" applyFont="1" applyFill="1" applyBorder="1" applyAlignment="1" applyProtection="1">
      <alignment horizontal="right" vertical="center"/>
      <protection locked="0"/>
    </xf>
    <xf numFmtId="3" fontId="15" fillId="0" borderId="1045" xfId="181" applyNumberFormat="1" applyFont="1" applyFill="1" applyBorder="1" applyAlignment="1" applyProtection="1">
      <alignment horizontal="right" vertical="center"/>
      <protection locked="0"/>
    </xf>
    <xf numFmtId="3" fontId="15" fillId="0" borderId="1046" xfId="181" applyNumberFormat="1" applyFont="1" applyFill="1" applyBorder="1" applyAlignment="1" applyProtection="1">
      <alignment horizontal="right" vertical="center"/>
      <protection locked="0"/>
    </xf>
    <xf numFmtId="3" fontId="48" fillId="0" borderId="1045" xfId="181" applyNumberFormat="1" applyFont="1" applyFill="1" applyBorder="1" applyAlignment="1" applyProtection="1">
      <alignment horizontal="right" vertical="center"/>
      <protection locked="0"/>
    </xf>
    <xf numFmtId="3" fontId="48" fillId="0" borderId="1034" xfId="181" applyNumberFormat="1" applyFont="1" applyFill="1" applyBorder="1" applyAlignment="1" applyProtection="1">
      <alignment horizontal="right" vertical="center"/>
      <protection locked="0"/>
    </xf>
    <xf numFmtId="3" fontId="48" fillId="0" borderId="1046" xfId="181" applyNumberFormat="1" applyFont="1" applyFill="1" applyBorder="1" applyAlignment="1" applyProtection="1">
      <alignment horizontal="right" vertical="center"/>
      <protection locked="0"/>
    </xf>
    <xf numFmtId="10" fontId="48" fillId="0" borderId="1034" xfId="177" applyNumberFormat="1" applyFont="1" applyFill="1" applyBorder="1" applyAlignment="1" applyProtection="1">
      <alignment horizontal="right" vertical="center"/>
      <protection locked="0"/>
    </xf>
    <xf numFmtId="49" fontId="15" fillId="0" borderId="1047" xfId="181" applyNumberFormat="1" applyFont="1" applyFill="1" applyBorder="1" applyAlignment="1" applyProtection="1">
      <alignment horizontal="center" vertical="center" wrapText="1"/>
      <protection locked="0"/>
    </xf>
    <xf numFmtId="49" fontId="15" fillId="0" borderId="1048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1047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048" xfId="181" applyNumberFormat="1" applyFont="1" applyFill="1" applyBorder="1" applyAlignment="1" applyProtection="1">
      <alignment horizontal="left" vertical="center" wrapText="1"/>
      <protection locked="0"/>
    </xf>
    <xf numFmtId="3" fontId="48" fillId="0" borderId="1033" xfId="181" applyNumberFormat="1" applyFont="1" applyFill="1" applyBorder="1" applyAlignment="1" applyProtection="1">
      <alignment horizontal="right" vertical="center"/>
      <protection locked="0"/>
    </xf>
    <xf numFmtId="3" fontId="48" fillId="0" borderId="1040" xfId="181" applyNumberFormat="1" applyFont="1" applyFill="1" applyBorder="1" applyAlignment="1" applyProtection="1">
      <alignment horizontal="right" vertical="center"/>
      <protection locked="0"/>
    </xf>
    <xf numFmtId="3" fontId="48" fillId="0" borderId="1051" xfId="181" applyNumberFormat="1" applyFont="1" applyFill="1" applyBorder="1" applyAlignment="1" applyProtection="1">
      <alignment horizontal="right" vertical="center"/>
      <protection locked="0"/>
    </xf>
    <xf numFmtId="49" fontId="15" fillId="0" borderId="1037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562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1054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1015" xfId="181" applyNumberFormat="1" applyFont="1" applyFill="1" applyBorder="1" applyAlignment="1" applyProtection="1">
      <alignment horizontal="center" vertical="center" wrapText="1"/>
      <protection locked="0"/>
    </xf>
    <xf numFmtId="49" fontId="15" fillId="0" borderId="1016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926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1055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056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1008" xfId="181" applyNumberFormat="1" applyFont="1" applyFill="1" applyBorder="1" applyAlignment="1" applyProtection="1">
      <alignment horizontal="right" vertical="center"/>
      <protection locked="0"/>
    </xf>
    <xf numFmtId="3" fontId="27" fillId="0" borderId="1045" xfId="181" applyNumberFormat="1" applyFont="1" applyFill="1" applyBorder="1" applyAlignment="1" applyProtection="1">
      <alignment horizontal="right" vertical="center"/>
      <protection locked="0"/>
    </xf>
    <xf numFmtId="3" fontId="27" fillId="0" borderId="1034" xfId="181" applyNumberFormat="1" applyFont="1" applyFill="1" applyBorder="1" applyAlignment="1" applyProtection="1">
      <alignment horizontal="right" vertical="center"/>
      <protection locked="0"/>
    </xf>
    <xf numFmtId="3" fontId="27" fillId="0" borderId="1046" xfId="181" applyNumberFormat="1" applyFont="1" applyFill="1" applyBorder="1" applyAlignment="1" applyProtection="1">
      <alignment horizontal="right" vertical="center"/>
      <protection locked="0"/>
    </xf>
    <xf numFmtId="49" fontId="15" fillId="16" borderId="1059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060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1061" xfId="181" applyNumberFormat="1" applyFont="1" applyFill="1" applyBorder="1" applyAlignment="1" applyProtection="1">
      <alignment horizontal="right" vertical="center"/>
      <protection locked="0"/>
    </xf>
    <xf numFmtId="49" fontId="15" fillId="16" borderId="1062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063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1064" xfId="181" applyNumberFormat="1" applyFont="1" applyFill="1" applyBorder="1" applyAlignment="1" applyProtection="1">
      <alignment horizontal="right" vertical="center"/>
      <protection locked="0"/>
    </xf>
    <xf numFmtId="3" fontId="15" fillId="0" borderId="1065" xfId="181" applyNumberFormat="1" applyFont="1" applyFill="1" applyBorder="1" applyAlignment="1" applyProtection="1">
      <alignment horizontal="right" vertical="center"/>
      <protection locked="0"/>
    </xf>
    <xf numFmtId="3" fontId="15" fillId="0" borderId="1066" xfId="181" applyNumberFormat="1" applyFont="1" applyFill="1" applyBorder="1" applyAlignment="1" applyProtection="1">
      <alignment horizontal="right" vertical="center"/>
      <protection locked="0"/>
    </xf>
    <xf numFmtId="10" fontId="15" fillId="0" borderId="1065" xfId="177" applyNumberFormat="1" applyFont="1" applyFill="1" applyBorder="1" applyAlignment="1" applyProtection="1">
      <alignment horizontal="right" vertical="center"/>
      <protection locked="0"/>
    </xf>
    <xf numFmtId="49" fontId="15" fillId="16" borderId="1032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067" xfId="181" applyNumberFormat="1" applyFont="1" applyFill="1" applyBorder="1" applyAlignment="1" applyProtection="1">
      <alignment horizontal="center" vertical="center" wrapText="1"/>
      <protection locked="0"/>
    </xf>
    <xf numFmtId="3" fontId="27" fillId="0" borderId="1064" xfId="181" applyNumberFormat="1" applyFont="1" applyFill="1" applyBorder="1" applyAlignment="1" applyProtection="1">
      <alignment horizontal="right" vertical="center"/>
      <protection locked="0"/>
    </xf>
    <xf numFmtId="3" fontId="27" fillId="0" borderId="1065" xfId="181" applyNumberFormat="1" applyFont="1" applyFill="1" applyBorder="1" applyAlignment="1" applyProtection="1">
      <alignment horizontal="right" vertical="center"/>
      <protection locked="0"/>
    </xf>
    <xf numFmtId="3" fontId="27" fillId="0" borderId="1068" xfId="181" applyNumberFormat="1" applyFont="1" applyFill="1" applyBorder="1" applyAlignment="1" applyProtection="1">
      <alignment horizontal="right" vertical="center"/>
      <protection locked="0"/>
    </xf>
    <xf numFmtId="49" fontId="15" fillId="0" borderId="1036" xfId="181" applyNumberFormat="1" applyFont="1" applyFill="1" applyBorder="1" applyAlignment="1" applyProtection="1">
      <alignment horizontal="center" vertical="center" wrapText="1"/>
      <protection locked="0"/>
    </xf>
    <xf numFmtId="49" fontId="15" fillId="0" borderId="1044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1069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1070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071" xfId="181" applyNumberFormat="1" applyFont="1" applyFill="1" applyBorder="1" applyAlignment="1" applyProtection="1">
      <alignment horizontal="center" vertical="center" wrapText="1"/>
      <protection locked="0"/>
    </xf>
    <xf numFmtId="10" fontId="27" fillId="0" borderId="1034" xfId="177" applyNumberFormat="1" applyFont="1" applyFill="1" applyBorder="1" applyAlignment="1" applyProtection="1">
      <alignment horizontal="right" vertical="center"/>
      <protection locked="0"/>
    </xf>
    <xf numFmtId="3" fontId="15" fillId="0" borderId="1073" xfId="181" applyNumberFormat="1" applyFont="1" applyFill="1" applyBorder="1" applyAlignment="1" applyProtection="1">
      <alignment horizontal="right" vertical="center"/>
      <protection locked="0"/>
    </xf>
    <xf numFmtId="49" fontId="40" fillId="17" borderId="75" xfId="181" applyNumberFormat="1" applyFont="1" applyFill="1" applyBorder="1" applyAlignment="1" applyProtection="1">
      <alignment horizontal="center" vertical="center" wrapText="1"/>
      <protection locked="0"/>
    </xf>
    <xf numFmtId="49" fontId="40" fillId="17" borderId="68" xfId="181" applyNumberFormat="1" applyFont="1" applyFill="1" applyBorder="1" applyAlignment="1" applyProtection="1">
      <alignment horizontal="center" vertical="center" wrapText="1"/>
      <protection locked="0"/>
    </xf>
    <xf numFmtId="49" fontId="40" fillId="17" borderId="69" xfId="181" applyNumberFormat="1" applyFont="1" applyFill="1" applyBorder="1" applyAlignment="1" applyProtection="1">
      <alignment horizontal="left" vertical="center" wrapText="1"/>
      <protection locked="0"/>
    </xf>
    <xf numFmtId="10" fontId="10" fillId="0" borderId="1034" xfId="177" applyNumberFormat="1" applyFont="1" applyFill="1" applyBorder="1" applyAlignment="1" applyProtection="1">
      <alignment horizontal="right" vertical="center"/>
      <protection locked="0"/>
    </xf>
    <xf numFmtId="3" fontId="59" fillId="0" borderId="1026" xfId="181" applyNumberFormat="1" applyFont="1" applyFill="1" applyBorder="1" applyAlignment="1" applyProtection="1">
      <alignment horizontal="right" vertical="center"/>
      <protection locked="0"/>
    </xf>
    <xf numFmtId="3" fontId="59" fillId="0" borderId="1034" xfId="181" applyNumberFormat="1" applyFont="1" applyFill="1" applyBorder="1" applyAlignment="1" applyProtection="1">
      <alignment horizontal="right" vertical="center"/>
      <protection locked="0"/>
    </xf>
    <xf numFmtId="3" fontId="59" fillId="0" borderId="1074" xfId="181" applyNumberFormat="1" applyFont="1" applyFill="1" applyBorder="1" applyAlignment="1" applyProtection="1">
      <alignment horizontal="right" vertical="center"/>
      <protection locked="0"/>
    </xf>
    <xf numFmtId="10" fontId="59" fillId="0" borderId="1034" xfId="177" applyNumberFormat="1" applyFont="1" applyFill="1" applyBorder="1" applyAlignment="1" applyProtection="1">
      <alignment horizontal="right" vertical="center"/>
      <protection locked="0"/>
    </xf>
    <xf numFmtId="49" fontId="10" fillId="16" borderId="1075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076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1034" xfId="181" applyNumberFormat="1" applyFont="1" applyFill="1" applyBorder="1" applyAlignment="1" applyProtection="1">
      <alignment horizontal="right" vertical="center"/>
      <protection locked="0"/>
    </xf>
    <xf numFmtId="3" fontId="10" fillId="0" borderId="1077" xfId="181" applyNumberFormat="1" applyFont="1" applyFill="1" applyBorder="1" applyAlignment="1" applyProtection="1">
      <alignment horizontal="right" vertical="center"/>
      <protection locked="0"/>
    </xf>
    <xf numFmtId="49" fontId="40" fillId="0" borderId="76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1026" xfId="181" applyNumberFormat="1" applyFont="1" applyFill="1" applyBorder="1" applyAlignment="1" applyProtection="1">
      <alignment horizontal="right" vertical="center"/>
      <protection locked="0"/>
    </xf>
    <xf numFmtId="3" fontId="10" fillId="0" borderId="1074" xfId="181" applyNumberFormat="1" applyFont="1" applyFill="1" applyBorder="1" applyAlignment="1" applyProtection="1">
      <alignment horizontal="right" vertical="center"/>
      <protection locked="0"/>
    </xf>
    <xf numFmtId="49" fontId="10" fillId="16" borderId="1047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048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1045" xfId="181" applyNumberFormat="1" applyFont="1" applyFill="1" applyBorder="1" applyAlignment="1" applyProtection="1">
      <alignment horizontal="right" vertical="center"/>
      <protection locked="0"/>
    </xf>
    <xf numFmtId="3" fontId="10" fillId="0" borderId="1035" xfId="181" applyNumberFormat="1" applyFont="1" applyFill="1" applyBorder="1" applyAlignment="1" applyProtection="1">
      <alignment horizontal="right" vertical="center"/>
      <protection locked="0"/>
    </xf>
    <xf numFmtId="49" fontId="10" fillId="16" borderId="1079" xfId="181" applyNumberFormat="1" applyFont="1" applyFill="1" applyBorder="1" applyAlignment="1" applyProtection="1">
      <alignment horizontal="center" vertical="center" wrapText="1"/>
      <protection locked="0"/>
    </xf>
    <xf numFmtId="3" fontId="10" fillId="0" borderId="1046" xfId="181" applyNumberFormat="1" applyFont="1" applyFill="1" applyBorder="1" applyAlignment="1" applyProtection="1">
      <alignment horizontal="right" vertical="center"/>
      <protection locked="0"/>
    </xf>
    <xf numFmtId="49" fontId="10" fillId="16" borderId="1080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081" xfId="181" applyNumberFormat="1" applyFont="1" applyFill="1" applyBorder="1" applyAlignment="1" applyProtection="1">
      <alignment horizontal="left" vertical="center" wrapText="1"/>
      <protection locked="0"/>
    </xf>
    <xf numFmtId="3" fontId="40" fillId="0" borderId="1045" xfId="181" applyNumberFormat="1" applyFont="1" applyFill="1" applyBorder="1" applyAlignment="1" applyProtection="1">
      <alignment horizontal="right" vertical="center"/>
      <protection locked="0"/>
    </xf>
    <xf numFmtId="3" fontId="40" fillId="0" borderId="1034" xfId="181" applyNumberFormat="1" applyFont="1" applyFill="1" applyBorder="1" applyAlignment="1" applyProtection="1">
      <alignment horizontal="right" vertical="center"/>
      <protection locked="0"/>
    </xf>
    <xf numFmtId="3" fontId="40" fillId="0" borderId="1046" xfId="181" applyNumberFormat="1" applyFont="1" applyFill="1" applyBorder="1" applyAlignment="1" applyProtection="1">
      <alignment horizontal="right" vertical="center"/>
      <protection locked="0"/>
    </xf>
    <xf numFmtId="10" fontId="40" fillId="0" borderId="1034" xfId="177" applyNumberFormat="1" applyFont="1" applyFill="1" applyBorder="1" applyAlignment="1" applyProtection="1">
      <alignment horizontal="right" vertical="center"/>
      <protection locked="0"/>
    </xf>
    <xf numFmtId="49" fontId="10" fillId="16" borderId="1039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1033" xfId="181" applyNumberFormat="1" applyFont="1" applyFill="1" applyBorder="1" applyAlignment="1" applyProtection="1">
      <alignment horizontal="right" vertical="center"/>
      <protection locked="0"/>
    </xf>
    <xf numFmtId="49" fontId="10" fillId="16" borderId="1059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060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1061" xfId="181" applyNumberFormat="1" applyFont="1" applyFill="1" applyBorder="1" applyAlignment="1" applyProtection="1">
      <alignment horizontal="right" vertical="center"/>
      <protection locked="0"/>
    </xf>
    <xf numFmtId="3" fontId="10" fillId="0" borderId="1031" xfId="181" applyNumberFormat="1" applyFont="1" applyFill="1" applyBorder="1" applyAlignment="1" applyProtection="1">
      <alignment horizontal="right" vertical="center"/>
      <protection locked="0"/>
    </xf>
    <xf numFmtId="49" fontId="10" fillId="16" borderId="1037" xfId="181" applyNumberFormat="1" applyFont="1" applyFill="1" applyBorder="1" applyAlignment="1" applyProtection="1">
      <alignment horizontal="center" vertical="center" wrapText="1"/>
      <protection locked="0"/>
    </xf>
    <xf numFmtId="49" fontId="10" fillId="0" borderId="1039" xfId="0" applyNumberFormat="1" applyFont="1" applyBorder="1" applyAlignment="1">
      <alignment vertical="center" wrapText="1"/>
    </xf>
    <xf numFmtId="10" fontId="10" fillId="0" borderId="1040" xfId="177" applyNumberFormat="1" applyFont="1" applyFill="1" applyBorder="1" applyAlignment="1" applyProtection="1">
      <alignment horizontal="right" vertical="center"/>
      <protection locked="0"/>
    </xf>
    <xf numFmtId="49" fontId="10" fillId="16" borderId="1071" xfId="181" applyNumberFormat="1" applyFont="1" applyFill="1" applyBorder="1" applyAlignment="1" applyProtection="1">
      <alignment horizontal="center" vertical="center" wrapText="1"/>
      <protection locked="0"/>
    </xf>
    <xf numFmtId="3" fontId="10" fillId="0" borderId="1073" xfId="181" applyNumberFormat="1" applyFont="1" applyFill="1" applyBorder="1" applyAlignment="1" applyProtection="1">
      <alignment horizontal="right" vertical="center"/>
      <protection locked="0"/>
    </xf>
    <xf numFmtId="49" fontId="10" fillId="16" borderId="75" xfId="181" applyNumberFormat="1" applyFont="1" applyFill="1" applyBorder="1" applyAlignment="1" applyProtection="1">
      <alignment horizontal="center" vertical="center" wrapText="1"/>
      <protection locked="0"/>
    </xf>
    <xf numFmtId="3" fontId="40" fillId="0" borderId="1064" xfId="181" applyNumberFormat="1" applyFont="1" applyFill="1" applyBorder="1" applyAlignment="1" applyProtection="1">
      <alignment horizontal="right" vertical="center"/>
      <protection locked="0"/>
    </xf>
    <xf numFmtId="3" fontId="40" fillId="0" borderId="1065" xfId="181" applyNumberFormat="1" applyFont="1" applyFill="1" applyBorder="1" applyAlignment="1" applyProtection="1">
      <alignment horizontal="right" vertical="center"/>
      <protection locked="0"/>
    </xf>
    <xf numFmtId="3" fontId="40" fillId="0" borderId="1068" xfId="181" applyNumberFormat="1" applyFont="1" applyFill="1" applyBorder="1" applyAlignment="1" applyProtection="1">
      <alignment horizontal="right" vertical="center"/>
      <protection locked="0"/>
    </xf>
    <xf numFmtId="10" fontId="40" fillId="0" borderId="1065" xfId="177" applyNumberFormat="1" applyFont="1" applyFill="1" applyBorder="1" applyAlignment="1" applyProtection="1">
      <alignment horizontal="right" vertical="center"/>
      <protection locked="0"/>
    </xf>
    <xf numFmtId="49" fontId="10" fillId="16" borderId="1032" xfId="181" applyNumberFormat="1" applyFont="1" applyFill="1" applyBorder="1" applyAlignment="1" applyProtection="1">
      <alignment horizontal="center" vertical="center" wrapText="1"/>
      <protection locked="0"/>
    </xf>
    <xf numFmtId="49" fontId="10" fillId="0" borderId="1048" xfId="0" applyNumberFormat="1" applyFont="1" applyBorder="1" applyAlignment="1">
      <alignment vertical="center" wrapText="1"/>
    </xf>
    <xf numFmtId="49" fontId="10" fillId="0" borderId="113" xfId="0" applyNumberFormat="1" applyFont="1" applyBorder="1" applyAlignment="1">
      <alignment vertical="center" wrapText="1"/>
    </xf>
    <xf numFmtId="49" fontId="10" fillId="16" borderId="1045" xfId="181" applyNumberFormat="1" applyFont="1" applyFill="1" applyBorder="1" applyAlignment="1" applyProtection="1">
      <alignment horizontal="center" vertical="center" wrapText="1"/>
      <protection locked="0"/>
    </xf>
    <xf numFmtId="49" fontId="10" fillId="0" borderId="1086" xfId="0" applyNumberFormat="1" applyFont="1" applyBorder="1" applyAlignment="1">
      <alignment vertical="center" wrapText="1"/>
    </xf>
    <xf numFmtId="49" fontId="10" fillId="16" borderId="1087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865" xfId="181" applyNumberFormat="1" applyFont="1" applyFill="1" applyBorder="1" applyAlignment="1" applyProtection="1">
      <alignment horizontal="center" vertical="center" wrapText="1"/>
      <protection locked="0"/>
    </xf>
    <xf numFmtId="49" fontId="10" fillId="0" borderId="1088" xfId="0" applyNumberFormat="1" applyFont="1" applyBorder="1" applyAlignment="1">
      <alignment vertical="center" wrapText="1"/>
    </xf>
    <xf numFmtId="3" fontId="10" fillId="0" borderId="1028" xfId="181" applyNumberFormat="1" applyFont="1" applyFill="1" applyBorder="1" applyAlignment="1" applyProtection="1">
      <alignment horizontal="right" vertical="center"/>
      <protection locked="0"/>
    </xf>
    <xf numFmtId="49" fontId="10" fillId="0" borderId="1028" xfId="0" applyNumberFormat="1" applyFont="1" applyBorder="1" applyAlignment="1">
      <alignment vertical="center" wrapText="1"/>
    </xf>
    <xf numFmtId="3" fontId="59" fillId="0" borderId="1045" xfId="181" applyNumberFormat="1" applyFont="1" applyFill="1" applyBorder="1" applyAlignment="1" applyProtection="1">
      <alignment horizontal="right" vertical="center"/>
      <protection locked="0"/>
    </xf>
    <xf numFmtId="3" fontId="59" fillId="0" borderId="1046" xfId="181" applyNumberFormat="1" applyFont="1" applyFill="1" applyBorder="1" applyAlignment="1" applyProtection="1">
      <alignment horizontal="right" vertical="center"/>
      <protection locked="0"/>
    </xf>
    <xf numFmtId="49" fontId="10" fillId="16" borderId="1070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028" xfId="181" applyNumberFormat="1" applyFont="1" applyFill="1" applyBorder="1" applyAlignment="1" applyProtection="1">
      <alignment horizontal="left" vertical="center" wrapText="1"/>
      <protection locked="0"/>
    </xf>
    <xf numFmtId="3" fontId="10" fillId="2" borderId="1045" xfId="181" applyNumberFormat="1" applyFont="1" applyFill="1" applyBorder="1" applyAlignment="1" applyProtection="1">
      <alignment horizontal="right" vertical="center"/>
      <protection locked="0"/>
    </xf>
    <xf numFmtId="3" fontId="10" fillId="2" borderId="1028" xfId="181" applyNumberFormat="1" applyFont="1" applyFill="1" applyBorder="1" applyAlignment="1" applyProtection="1">
      <alignment horizontal="right" vertical="center"/>
      <protection locked="0"/>
    </xf>
    <xf numFmtId="49" fontId="10" fillId="16" borderId="1018" xfId="181" applyNumberFormat="1" applyFont="1" applyFill="1" applyBorder="1" applyAlignment="1" applyProtection="1">
      <alignment horizontal="center" vertical="center" wrapText="1"/>
      <protection locked="0"/>
    </xf>
    <xf numFmtId="49" fontId="10" fillId="0" borderId="1089" xfId="0" applyNumberFormat="1" applyFont="1" applyBorder="1" applyAlignment="1">
      <alignment vertical="center" wrapText="1"/>
    </xf>
    <xf numFmtId="3" fontId="10" fillId="2" borderId="1018" xfId="181" applyNumberFormat="1" applyFont="1" applyFill="1" applyBorder="1" applyAlignment="1" applyProtection="1">
      <alignment horizontal="right" vertical="center"/>
      <protection locked="0"/>
    </xf>
    <xf numFmtId="3" fontId="10" fillId="2" borderId="1031" xfId="181" applyNumberFormat="1" applyFont="1" applyFill="1" applyBorder="1" applyAlignment="1" applyProtection="1">
      <alignment horizontal="right" vertical="center"/>
      <protection locked="0"/>
    </xf>
    <xf numFmtId="49" fontId="10" fillId="0" borderId="1036" xfId="181" applyNumberFormat="1" applyFont="1" applyFill="1" applyBorder="1" applyAlignment="1" applyProtection="1">
      <alignment horizontal="center" vertical="center" wrapText="1"/>
      <protection locked="0"/>
    </xf>
    <xf numFmtId="49" fontId="10" fillId="0" borderId="1032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1091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145" xfId="181" applyNumberFormat="1" applyFont="1" applyFill="1" applyBorder="1" applyAlignment="1" applyProtection="1">
      <alignment horizontal="center" vertical="center" wrapText="1"/>
      <protection locked="0"/>
    </xf>
    <xf numFmtId="49" fontId="10" fillId="0" borderId="1060" xfId="0" applyNumberFormat="1" applyFont="1" applyBorder="1" applyAlignment="1">
      <alignment vertical="center" wrapText="1"/>
    </xf>
    <xf numFmtId="3" fontId="10" fillId="0" borderId="1093" xfId="181" applyNumberFormat="1" applyFont="1" applyFill="1" applyBorder="1" applyAlignment="1" applyProtection="1">
      <alignment horizontal="right" vertical="center"/>
      <protection locked="0"/>
    </xf>
    <xf numFmtId="3" fontId="10" fillId="0" borderId="1094" xfId="181" applyNumberFormat="1" applyFont="1" applyFill="1" applyBorder="1" applyAlignment="1" applyProtection="1">
      <alignment horizontal="right" vertical="center"/>
      <protection locked="0"/>
    </xf>
    <xf numFmtId="10" fontId="10" fillId="0" borderId="1093" xfId="177" applyNumberFormat="1" applyFont="1" applyFill="1" applyBorder="1" applyAlignment="1" applyProtection="1">
      <alignment horizontal="right" vertical="center"/>
      <protection locked="0"/>
    </xf>
    <xf numFmtId="49" fontId="10" fillId="16" borderId="1095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096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1097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098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1026" xfId="181" applyNumberFormat="1" applyFont="1" applyFill="1" applyBorder="1" applyAlignment="1" applyProtection="1">
      <alignment vertical="center" wrapText="1"/>
      <protection locked="0"/>
    </xf>
    <xf numFmtId="49" fontId="10" fillId="16" borderId="1028" xfId="181" applyNumberFormat="1" applyFont="1" applyFill="1" applyBorder="1" applyAlignment="1" applyProtection="1">
      <alignment vertical="center" wrapText="1"/>
      <protection locked="0"/>
    </xf>
    <xf numFmtId="10" fontId="40" fillId="0" borderId="1093" xfId="177" applyNumberFormat="1" applyFont="1" applyFill="1" applyBorder="1" applyAlignment="1" applyProtection="1">
      <alignment horizontal="right" vertical="center"/>
      <protection locked="0"/>
    </xf>
    <xf numFmtId="49" fontId="10" fillId="16" borderId="1099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100" xfId="181" applyNumberFormat="1" applyFont="1" applyFill="1" applyBorder="1" applyAlignment="1" applyProtection="1">
      <alignment horizontal="left" vertical="center" wrapText="1"/>
      <protection locked="0"/>
    </xf>
    <xf numFmtId="10" fontId="10" fillId="0" borderId="1101" xfId="177" applyNumberFormat="1" applyFont="1" applyFill="1" applyBorder="1" applyAlignment="1" applyProtection="1">
      <alignment horizontal="right" vertical="center"/>
      <protection locked="0"/>
    </xf>
    <xf numFmtId="3" fontId="48" fillId="0" borderId="482" xfId="181" applyNumberFormat="1" applyFont="1" applyFill="1" applyBorder="1" applyAlignment="1" applyProtection="1">
      <alignment horizontal="right" vertical="center"/>
      <protection locked="0"/>
    </xf>
    <xf numFmtId="49" fontId="15" fillId="16" borderId="1102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078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1103" xfId="181" applyNumberFormat="1" applyFont="1" applyFill="1" applyBorder="1" applyAlignment="1" applyProtection="1">
      <alignment horizontal="right" vertical="center"/>
      <protection locked="0"/>
    </xf>
    <xf numFmtId="3" fontId="15" fillId="0" borderId="1093" xfId="181" applyNumberFormat="1" applyFont="1" applyFill="1" applyBorder="1" applyAlignment="1" applyProtection="1">
      <alignment horizontal="right" vertical="center"/>
      <protection locked="0"/>
    </xf>
    <xf numFmtId="10" fontId="15" fillId="0" borderId="1093" xfId="177" applyNumberFormat="1" applyFont="1" applyFill="1" applyBorder="1" applyAlignment="1" applyProtection="1">
      <alignment horizontal="right" vertical="center"/>
      <protection locked="0"/>
    </xf>
    <xf numFmtId="49" fontId="15" fillId="16" borderId="1104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105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1106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106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1107" xfId="181" applyNumberFormat="1" applyFont="1" applyFill="1" applyBorder="1" applyAlignment="1" applyProtection="1">
      <alignment horizontal="right" vertical="center"/>
      <protection locked="0"/>
    </xf>
    <xf numFmtId="3" fontId="15" fillId="0" borderId="1108" xfId="181" applyNumberFormat="1" applyFont="1" applyFill="1" applyBorder="1" applyAlignment="1" applyProtection="1">
      <alignment horizontal="right" vertical="center"/>
      <protection locked="0"/>
    </xf>
    <xf numFmtId="3" fontId="15" fillId="0" borderId="1109" xfId="181" applyNumberFormat="1" applyFont="1" applyFill="1" applyBorder="1" applyAlignment="1" applyProtection="1">
      <alignment horizontal="right" vertical="center"/>
      <protection locked="0"/>
    </xf>
    <xf numFmtId="10" fontId="15" fillId="0" borderId="1108" xfId="177" applyNumberFormat="1" applyFont="1" applyFill="1" applyBorder="1" applyAlignment="1" applyProtection="1">
      <alignment horizontal="right" vertical="center"/>
      <protection locked="0"/>
    </xf>
    <xf numFmtId="49" fontId="10" fillId="0" borderId="75" xfId="181" applyNumberFormat="1" applyFont="1" applyFill="1" applyBorder="1" applyAlignment="1" applyProtection="1">
      <alignment vertical="center" wrapText="1"/>
      <protection locked="0"/>
    </xf>
    <xf numFmtId="3" fontId="10" fillId="0" borderId="1110" xfId="181" applyNumberFormat="1" applyFont="1" applyFill="1" applyBorder="1" applyAlignment="1" applyProtection="1">
      <alignment horizontal="right" vertical="center"/>
      <protection locked="0"/>
    </xf>
    <xf numFmtId="3" fontId="10" fillId="0" borderId="1065" xfId="181" applyNumberFormat="1" applyFont="1" applyFill="1" applyBorder="1" applyAlignment="1" applyProtection="1">
      <alignment horizontal="right" vertical="center"/>
      <protection locked="0"/>
    </xf>
    <xf numFmtId="10" fontId="10" fillId="0" borderId="1065" xfId="177" applyNumberFormat="1" applyFont="1" applyFill="1" applyBorder="1" applyAlignment="1" applyProtection="1">
      <alignment horizontal="right" vertical="center"/>
      <protection locked="0"/>
    </xf>
    <xf numFmtId="49" fontId="10" fillId="16" borderId="1104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105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1103" xfId="181" applyNumberFormat="1" applyFont="1" applyFill="1" applyBorder="1" applyAlignment="1" applyProtection="1">
      <alignment horizontal="right" vertical="center"/>
      <protection locked="0"/>
    </xf>
    <xf numFmtId="49" fontId="10" fillId="16" borderId="1111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1112" xfId="181" applyNumberFormat="1" applyFont="1" applyFill="1" applyBorder="1" applyAlignment="1" applyProtection="1">
      <alignment horizontal="center" vertical="center" wrapText="1"/>
      <protection locked="0"/>
    </xf>
    <xf numFmtId="3" fontId="10" fillId="0" borderId="1113" xfId="181" applyNumberFormat="1" applyFont="1" applyFill="1" applyBorder="1" applyAlignment="1" applyProtection="1">
      <alignment horizontal="right" vertical="center"/>
      <protection locked="0"/>
    </xf>
    <xf numFmtId="3" fontId="40" fillId="0" borderId="482" xfId="181" applyNumberFormat="1" applyFont="1" applyFill="1" applyBorder="1" applyAlignment="1" applyProtection="1">
      <alignment horizontal="right" vertical="center"/>
      <protection locked="0"/>
    </xf>
    <xf numFmtId="3" fontId="40" fillId="0" borderId="700" xfId="181" applyNumberFormat="1" applyFont="1" applyFill="1" applyBorder="1" applyAlignment="1" applyProtection="1">
      <alignment horizontal="right" vertical="center"/>
      <protection locked="0"/>
    </xf>
    <xf numFmtId="49" fontId="10" fillId="16" borderId="1115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116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1117" xfId="181" applyNumberFormat="1" applyFont="1" applyFill="1" applyBorder="1" applyAlignment="1" applyProtection="1">
      <alignment horizontal="right" vertical="center"/>
      <protection locked="0"/>
    </xf>
    <xf numFmtId="3" fontId="10" fillId="0" borderId="1118" xfId="181" applyNumberFormat="1" applyFont="1" applyFill="1" applyBorder="1" applyAlignment="1" applyProtection="1">
      <alignment horizontal="right" vertical="center"/>
      <protection locked="0"/>
    </xf>
    <xf numFmtId="49" fontId="10" fillId="16" borderId="1119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120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1121" xfId="181" applyNumberFormat="1" applyFont="1" applyFill="1" applyBorder="1" applyAlignment="1" applyProtection="1">
      <alignment horizontal="right" vertical="center"/>
      <protection locked="0"/>
    </xf>
    <xf numFmtId="3" fontId="40" fillId="0" borderId="1117" xfId="181" applyNumberFormat="1" applyFont="1" applyFill="1" applyBorder="1" applyAlignment="1" applyProtection="1">
      <alignment horizontal="right" vertical="center"/>
      <protection locked="0"/>
    </xf>
    <xf numFmtId="3" fontId="40" fillId="0" borderId="1093" xfId="181" applyNumberFormat="1" applyFont="1" applyFill="1" applyBorder="1" applyAlignment="1" applyProtection="1">
      <alignment horizontal="right" vertical="center"/>
      <protection locked="0"/>
    </xf>
    <xf numFmtId="3" fontId="40" fillId="0" borderId="1122" xfId="181" applyNumberFormat="1" applyFont="1" applyFill="1" applyBorder="1" applyAlignment="1" applyProtection="1">
      <alignment horizontal="right" vertical="center"/>
      <protection locked="0"/>
    </xf>
    <xf numFmtId="3" fontId="10" fillId="0" borderId="1122" xfId="181" applyNumberFormat="1" applyFont="1" applyFill="1" applyBorder="1" applyAlignment="1" applyProtection="1">
      <alignment horizontal="right" vertical="center"/>
      <protection locked="0"/>
    </xf>
    <xf numFmtId="49" fontId="10" fillId="0" borderId="0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125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1126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127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1117" xfId="181" applyNumberFormat="1" applyFont="1" applyFill="1" applyBorder="1" applyAlignment="1" applyProtection="1">
      <alignment horizontal="center" vertical="center" wrapText="1"/>
      <protection locked="0"/>
    </xf>
    <xf numFmtId="49" fontId="10" fillId="0" borderId="1118" xfId="0" applyNumberFormat="1" applyFont="1" applyBorder="1" applyAlignment="1">
      <alignment vertical="center" wrapText="1"/>
    </xf>
    <xf numFmtId="3" fontId="59" fillId="0" borderId="1117" xfId="181" applyNumberFormat="1" applyFont="1" applyFill="1" applyBorder="1" applyAlignment="1" applyProtection="1">
      <alignment horizontal="right" vertical="center"/>
      <protection locked="0"/>
    </xf>
    <xf numFmtId="3" fontId="59" fillId="0" borderId="1093" xfId="181" applyNumberFormat="1" applyFont="1" applyFill="1" applyBorder="1" applyAlignment="1" applyProtection="1">
      <alignment horizontal="right" vertical="center"/>
      <protection locked="0"/>
    </xf>
    <xf numFmtId="3" fontId="59" fillId="0" borderId="1122" xfId="181" applyNumberFormat="1" applyFont="1" applyFill="1" applyBorder="1" applyAlignment="1" applyProtection="1">
      <alignment horizontal="right" vertical="center"/>
      <protection locked="0"/>
    </xf>
    <xf numFmtId="10" fontId="59" fillId="0" borderId="1093" xfId="177" applyNumberFormat="1" applyFont="1" applyFill="1" applyBorder="1" applyAlignment="1" applyProtection="1">
      <alignment horizontal="right" vertical="center"/>
      <protection locked="0"/>
    </xf>
    <xf numFmtId="49" fontId="10" fillId="16" borderId="1118" xfId="181" applyNumberFormat="1" applyFont="1" applyFill="1" applyBorder="1" applyAlignment="1" applyProtection="1">
      <alignment horizontal="left" vertical="center" wrapText="1"/>
      <protection locked="0"/>
    </xf>
    <xf numFmtId="3" fontId="10" fillId="2" borderId="1117" xfId="181" applyNumberFormat="1" applyFont="1" applyFill="1" applyBorder="1" applyAlignment="1" applyProtection="1">
      <alignment horizontal="right" vertical="center"/>
      <protection locked="0"/>
    </xf>
    <xf numFmtId="3" fontId="10" fillId="22" borderId="1118" xfId="181" applyNumberFormat="1" applyFont="1" applyFill="1" applyBorder="1" applyAlignment="1" applyProtection="1">
      <alignment horizontal="right" vertical="center"/>
      <protection locked="0"/>
    </xf>
    <xf numFmtId="10" fontId="10" fillId="0" borderId="1128" xfId="177" applyNumberFormat="1" applyFont="1" applyFill="1" applyBorder="1" applyAlignment="1" applyProtection="1">
      <alignment horizontal="right" vertical="center"/>
      <protection locked="0"/>
    </xf>
    <xf numFmtId="3" fontId="10" fillId="0" borderId="700" xfId="181" applyNumberFormat="1" applyFont="1" applyFill="1" applyBorder="1" applyAlignment="1" applyProtection="1">
      <alignment horizontal="right" vertical="center"/>
      <protection locked="0"/>
    </xf>
    <xf numFmtId="49" fontId="10" fillId="0" borderId="1130" xfId="181" applyNumberFormat="1" applyFont="1" applyFill="1" applyBorder="1" applyAlignment="1" applyProtection="1">
      <alignment horizontal="center" vertical="center" wrapText="1"/>
      <protection locked="0"/>
    </xf>
    <xf numFmtId="49" fontId="10" fillId="0" borderId="1114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1114" xfId="181" applyNumberFormat="1" applyFont="1" applyFill="1" applyBorder="1" applyAlignment="1" applyProtection="1">
      <alignment horizontal="center" vertical="center" wrapText="1"/>
      <protection locked="0"/>
    </xf>
    <xf numFmtId="49" fontId="40" fillId="0" borderId="1114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1131" xfId="181" applyNumberFormat="1" applyFont="1" applyFill="1" applyBorder="1" applyAlignment="1" applyProtection="1">
      <alignment horizontal="center" vertical="center" wrapText="1"/>
      <protection locked="0"/>
    </xf>
    <xf numFmtId="49" fontId="10" fillId="0" borderId="1078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1117" xfId="181" applyNumberFormat="1" applyFont="1" applyFill="1" applyBorder="1" applyAlignment="1" applyProtection="1">
      <alignment vertical="center" wrapText="1"/>
      <protection locked="0"/>
    </xf>
    <xf numFmtId="49" fontId="10" fillId="16" borderId="1118" xfId="181" applyNumberFormat="1" applyFont="1" applyFill="1" applyBorder="1" applyAlignment="1" applyProtection="1">
      <alignment vertical="center" wrapText="1"/>
      <protection locked="0"/>
    </xf>
    <xf numFmtId="49" fontId="10" fillId="16" borderId="1132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133" xfId="181" applyNumberFormat="1" applyFont="1" applyFill="1" applyBorder="1" applyAlignment="1" applyProtection="1">
      <alignment horizontal="left" vertical="center" wrapText="1"/>
      <protection locked="0"/>
    </xf>
    <xf numFmtId="49" fontId="10" fillId="21" borderId="39" xfId="181" applyNumberFormat="1" applyFont="1" applyFill="1" applyBorder="1" applyAlignment="1" applyProtection="1">
      <alignment vertical="center" wrapText="1"/>
      <protection locked="0"/>
    </xf>
    <xf numFmtId="49" fontId="10" fillId="21" borderId="33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134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134" xfId="181" applyNumberFormat="1" applyFont="1" applyFill="1" applyBorder="1" applyAlignment="1" applyProtection="1">
      <alignment horizontal="left" vertical="center" wrapText="1"/>
      <protection locked="0"/>
    </xf>
    <xf numFmtId="49" fontId="10" fillId="21" borderId="75" xfId="181" applyNumberFormat="1" applyFont="1" applyFill="1" applyBorder="1" applyAlignment="1" applyProtection="1">
      <alignment horizontal="center" vertical="center" wrapText="1"/>
      <protection locked="0"/>
    </xf>
    <xf numFmtId="3" fontId="10" fillId="0" borderId="1064" xfId="181" applyNumberFormat="1" applyFont="1" applyFill="1" applyBorder="1" applyAlignment="1" applyProtection="1">
      <alignment horizontal="right" vertical="center"/>
      <protection locked="0"/>
    </xf>
    <xf numFmtId="49" fontId="10" fillId="21" borderId="39" xfId="181" applyNumberFormat="1" applyFont="1" applyFill="1" applyBorder="1" applyAlignment="1" applyProtection="1">
      <alignment horizontal="center" vertical="center" wrapText="1"/>
      <protection locked="0"/>
    </xf>
    <xf numFmtId="49" fontId="10" fillId="0" borderId="1078" xfId="181" applyNumberFormat="1" applyFont="1" applyFill="1" applyBorder="1" applyAlignment="1" applyProtection="1">
      <alignment horizontal="center" vertical="center" wrapText="1"/>
      <protection locked="0"/>
    </xf>
    <xf numFmtId="49" fontId="10" fillId="0" borderId="1135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1136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1078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078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1135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1137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138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139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140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1129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1114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114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1142" xfId="181" applyNumberFormat="1" applyFont="1" applyFill="1" applyBorder="1" applyAlignment="1" applyProtection="1">
      <alignment horizontal="center" vertical="center" wrapText="1"/>
      <protection locked="0"/>
    </xf>
    <xf numFmtId="3" fontId="10" fillId="0" borderId="1143" xfId="181" applyNumberFormat="1" applyFont="1" applyFill="1" applyBorder="1" applyAlignment="1" applyProtection="1">
      <alignment horizontal="right" vertical="center"/>
      <protection locked="0"/>
    </xf>
    <xf numFmtId="10" fontId="10" fillId="0" borderId="1143" xfId="177" applyNumberFormat="1" applyFont="1" applyFill="1" applyBorder="1" applyAlignment="1" applyProtection="1">
      <alignment horizontal="right" vertical="center"/>
      <protection locked="0"/>
    </xf>
    <xf numFmtId="49" fontId="10" fillId="16" borderId="1144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145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146" xfId="181" applyNumberFormat="1" applyFont="1" applyFill="1" applyBorder="1" applyAlignment="1" applyProtection="1">
      <alignment horizontal="left" vertical="center" wrapText="1"/>
      <protection locked="0"/>
    </xf>
    <xf numFmtId="3" fontId="10" fillId="0" borderId="1107" xfId="181" applyNumberFormat="1" applyFont="1" applyFill="1" applyBorder="1" applyAlignment="1" applyProtection="1">
      <alignment horizontal="right" vertical="center"/>
      <protection locked="0"/>
    </xf>
    <xf numFmtId="3" fontId="10" fillId="0" borderId="1108" xfId="181" applyNumberFormat="1" applyFont="1" applyFill="1" applyBorder="1" applyAlignment="1" applyProtection="1">
      <alignment horizontal="right" vertical="center"/>
      <protection locked="0"/>
    </xf>
    <xf numFmtId="3" fontId="10" fillId="0" borderId="1147" xfId="181" applyNumberFormat="1" applyFont="1" applyFill="1" applyBorder="1" applyAlignment="1" applyProtection="1">
      <alignment horizontal="right" vertical="center"/>
      <protection locked="0"/>
    </xf>
    <xf numFmtId="10" fontId="10" fillId="0" borderId="1108" xfId="177" applyNumberFormat="1" applyFont="1" applyFill="1" applyBorder="1" applyAlignment="1" applyProtection="1">
      <alignment horizontal="right" vertical="center"/>
      <protection locked="0"/>
    </xf>
    <xf numFmtId="49" fontId="53" fillId="16" borderId="1148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1133" xfId="181" applyNumberFormat="1" applyFont="1" applyFill="1" applyBorder="1" applyAlignment="1" applyProtection="1">
      <alignment horizontal="left" vertical="center" wrapText="1"/>
      <protection locked="0"/>
    </xf>
    <xf numFmtId="3" fontId="53" fillId="0" borderId="482" xfId="181" applyNumberFormat="1" applyFont="1" applyFill="1" applyBorder="1" applyAlignment="1" applyProtection="1">
      <alignment horizontal="right" vertical="center"/>
      <protection locked="0"/>
    </xf>
    <xf numFmtId="3" fontId="53" fillId="0" borderId="1121" xfId="181" applyNumberFormat="1" applyFont="1" applyFill="1" applyBorder="1" applyAlignment="1" applyProtection="1">
      <alignment horizontal="right" vertical="center"/>
      <protection locked="0"/>
    </xf>
    <xf numFmtId="3" fontId="53" fillId="0" borderId="1149" xfId="181" applyNumberFormat="1" applyFont="1" applyFill="1" applyBorder="1" applyAlignment="1" applyProtection="1">
      <alignment horizontal="right" vertical="center"/>
      <protection locked="0"/>
    </xf>
    <xf numFmtId="3" fontId="53" fillId="0" borderId="1150" xfId="181" applyNumberFormat="1" applyFont="1" applyFill="1" applyBorder="1" applyAlignment="1" applyProtection="1">
      <alignment horizontal="right" vertical="center"/>
      <protection locked="0"/>
    </xf>
    <xf numFmtId="3" fontId="53" fillId="0" borderId="1151" xfId="181" applyNumberFormat="1" applyFont="1" applyFill="1" applyBorder="1" applyAlignment="1" applyProtection="1">
      <alignment horizontal="right" vertical="center"/>
      <protection locked="0"/>
    </xf>
    <xf numFmtId="10" fontId="53" fillId="0" borderId="1150" xfId="177" applyNumberFormat="1" applyFont="1" applyFill="1" applyBorder="1" applyAlignment="1" applyProtection="1">
      <alignment horizontal="right" vertical="center"/>
      <protection locked="0"/>
    </xf>
    <xf numFmtId="49" fontId="53" fillId="16" borderId="1153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1154" xfId="181" applyNumberFormat="1" applyFont="1" applyFill="1" applyBorder="1" applyAlignment="1" applyProtection="1">
      <alignment horizontal="left" vertical="center" wrapText="1"/>
      <protection locked="0"/>
    </xf>
    <xf numFmtId="3" fontId="53" fillId="0" borderId="1155" xfId="181" applyNumberFormat="1" applyFont="1" applyFill="1" applyBorder="1" applyAlignment="1" applyProtection="1">
      <alignment horizontal="right" vertical="center"/>
      <protection locked="0"/>
    </xf>
    <xf numFmtId="49" fontId="53" fillId="0" borderId="1151" xfId="181" applyNumberFormat="1" applyFont="1" applyFill="1" applyBorder="1" applyAlignment="1" applyProtection="1">
      <alignment horizontal="left" vertical="center" wrapText="1"/>
      <protection locked="0"/>
    </xf>
    <xf numFmtId="10" fontId="53" fillId="0" borderId="1156" xfId="177" applyNumberFormat="1" applyFont="1" applyFill="1" applyBorder="1" applyAlignment="1" applyProtection="1">
      <alignment horizontal="right" vertical="center"/>
      <protection locked="0"/>
    </xf>
    <xf numFmtId="3" fontId="27" fillId="2" borderId="75" xfId="181" applyNumberFormat="1" applyFont="1" applyFill="1" applyBorder="1" applyAlignment="1" applyProtection="1">
      <alignment horizontal="right" vertical="center"/>
      <protection locked="0"/>
    </xf>
    <xf numFmtId="3" fontId="27" fillId="2" borderId="32" xfId="181" applyNumberFormat="1" applyFont="1" applyFill="1" applyBorder="1" applyAlignment="1" applyProtection="1">
      <alignment horizontal="right" vertical="center"/>
      <protection locked="0"/>
    </xf>
    <xf numFmtId="10" fontId="27" fillId="0" borderId="1150" xfId="177" applyNumberFormat="1" applyFont="1" applyFill="1" applyBorder="1" applyAlignment="1" applyProtection="1">
      <alignment horizontal="right" vertical="center"/>
      <protection locked="0"/>
    </xf>
    <xf numFmtId="3" fontId="15" fillId="2" borderId="1149" xfId="181" applyNumberFormat="1" applyFont="1" applyFill="1" applyBorder="1" applyAlignment="1" applyProtection="1">
      <alignment horizontal="right" vertical="center"/>
      <protection locked="0"/>
    </xf>
    <xf numFmtId="3" fontId="15" fillId="2" borderId="1150" xfId="181" applyNumberFormat="1" applyFont="1" applyFill="1" applyBorder="1" applyAlignment="1" applyProtection="1">
      <alignment horizontal="right" vertical="center"/>
      <protection locked="0"/>
    </xf>
    <xf numFmtId="3" fontId="15" fillId="2" borderId="1158" xfId="181" applyNumberFormat="1" applyFont="1" applyFill="1" applyBorder="1" applyAlignment="1" applyProtection="1">
      <alignment horizontal="right" vertical="center"/>
      <protection locked="0"/>
    </xf>
    <xf numFmtId="49" fontId="15" fillId="16" borderId="1159" xfId="181" applyNumberFormat="1" applyFont="1" applyFill="1" applyBorder="1" applyAlignment="1" applyProtection="1">
      <alignment horizontal="center" vertical="center" wrapText="1"/>
      <protection locked="0"/>
    </xf>
    <xf numFmtId="3" fontId="15" fillId="2" borderId="865" xfId="181" applyNumberFormat="1" applyFont="1" applyFill="1" applyBorder="1" applyAlignment="1" applyProtection="1">
      <alignment horizontal="right" vertical="center"/>
      <protection locked="0"/>
    </xf>
    <xf numFmtId="3" fontId="15" fillId="2" borderId="1160" xfId="181" applyNumberFormat="1" applyFont="1" applyFill="1" applyBorder="1" applyAlignment="1" applyProtection="1">
      <alignment horizontal="right" vertical="center"/>
      <protection locked="0"/>
    </xf>
    <xf numFmtId="3" fontId="15" fillId="2" borderId="1161" xfId="181" applyNumberFormat="1" applyFont="1" applyFill="1" applyBorder="1" applyAlignment="1" applyProtection="1">
      <alignment horizontal="right" vertical="center"/>
      <protection locked="0"/>
    </xf>
    <xf numFmtId="10" fontId="27" fillId="0" borderId="1160" xfId="177" applyNumberFormat="1" applyFont="1" applyFill="1" applyBorder="1" applyAlignment="1" applyProtection="1">
      <alignment horizontal="right" vertical="center"/>
      <protection locked="0"/>
    </xf>
    <xf numFmtId="3" fontId="15" fillId="0" borderId="1143" xfId="181" applyNumberFormat="1" applyFont="1" applyFill="1" applyBorder="1" applyAlignment="1" applyProtection="1">
      <alignment horizontal="right" vertical="center"/>
      <protection locked="0"/>
    </xf>
    <xf numFmtId="3" fontId="15" fillId="0" borderId="1163" xfId="181" applyNumberFormat="1" applyFont="1" applyFill="1" applyBorder="1" applyAlignment="1" applyProtection="1">
      <alignment horizontal="right" vertical="center"/>
      <protection locked="0"/>
    </xf>
    <xf numFmtId="10" fontId="15" fillId="0" borderId="1143" xfId="177" applyNumberFormat="1" applyFont="1" applyFill="1" applyBorder="1" applyAlignment="1" applyProtection="1">
      <alignment horizontal="right" vertical="center"/>
      <protection locked="0"/>
    </xf>
    <xf numFmtId="3" fontId="48" fillId="0" borderId="1103" xfId="181" applyNumberFormat="1" applyFont="1" applyFill="1" applyBorder="1" applyAlignment="1" applyProtection="1">
      <alignment horizontal="right" vertical="center"/>
      <protection locked="0"/>
    </xf>
    <xf numFmtId="3" fontId="48" fillId="0" borderId="1143" xfId="181" applyNumberFormat="1" applyFont="1" applyFill="1" applyBorder="1" applyAlignment="1" applyProtection="1">
      <alignment horizontal="right" vertical="center"/>
      <protection locked="0"/>
    </xf>
    <xf numFmtId="3" fontId="48" fillId="0" borderId="1163" xfId="181" applyNumberFormat="1" applyFont="1" applyFill="1" applyBorder="1" applyAlignment="1" applyProtection="1">
      <alignment horizontal="right" vertical="center"/>
      <protection locked="0"/>
    </xf>
    <xf numFmtId="10" fontId="48" fillId="0" borderId="1143" xfId="177" applyNumberFormat="1" applyFont="1" applyFill="1" applyBorder="1" applyAlignment="1" applyProtection="1">
      <alignment horizontal="right" vertical="center"/>
      <protection locked="0"/>
    </xf>
    <xf numFmtId="49" fontId="15" fillId="16" borderId="1164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165" xfId="181" applyNumberFormat="1" applyFont="1" applyFill="1" applyBorder="1" applyAlignment="1" applyProtection="1">
      <alignment horizontal="left" vertical="center" wrapText="1"/>
      <protection locked="0"/>
    </xf>
    <xf numFmtId="3" fontId="48" fillId="0" borderId="1167" xfId="181" applyNumberFormat="1" applyFont="1" applyFill="1" applyBorder="1" applyAlignment="1" applyProtection="1">
      <alignment horizontal="right" vertical="center"/>
      <protection locked="0"/>
    </xf>
    <xf numFmtId="3" fontId="48" fillId="0" borderId="1168" xfId="181" applyNumberFormat="1" applyFont="1" applyFill="1" applyBorder="1" applyAlignment="1" applyProtection="1">
      <alignment horizontal="right" vertical="center"/>
      <protection locked="0"/>
    </xf>
    <xf numFmtId="49" fontId="15" fillId="16" borderId="1169" xfId="181" applyNumberFormat="1" applyFont="1" applyFill="1" applyBorder="1" applyAlignment="1" applyProtection="1">
      <alignment horizontal="center" vertical="center" wrapText="1"/>
      <protection locked="0"/>
    </xf>
    <xf numFmtId="49" fontId="15" fillId="0" borderId="1170" xfId="0" applyNumberFormat="1" applyFont="1" applyBorder="1" applyAlignment="1">
      <alignment vertical="center" wrapText="1"/>
    </xf>
    <xf numFmtId="3" fontId="15" fillId="0" borderId="1167" xfId="181" applyNumberFormat="1" applyFont="1" applyFill="1" applyBorder="1" applyAlignment="1" applyProtection="1">
      <alignment horizontal="right" vertical="center"/>
      <protection locked="0"/>
    </xf>
    <xf numFmtId="3" fontId="15" fillId="0" borderId="1171" xfId="181" applyNumberFormat="1" applyFont="1" applyFill="1" applyBorder="1" applyAlignment="1" applyProtection="1">
      <alignment horizontal="right" vertical="center"/>
      <protection locked="0"/>
    </xf>
    <xf numFmtId="49" fontId="15" fillId="16" borderId="1172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173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1174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175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1144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176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34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177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1167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170" xfId="181" applyNumberFormat="1" applyFont="1" applyFill="1" applyBorder="1" applyAlignment="1" applyProtection="1">
      <alignment horizontal="left" vertical="center" wrapText="1"/>
      <protection locked="0"/>
    </xf>
    <xf numFmtId="3" fontId="15" fillId="0" borderId="1178" xfId="181" applyNumberFormat="1" applyFont="1" applyFill="1" applyBorder="1" applyAlignment="1" applyProtection="1">
      <alignment horizontal="right" vertical="center"/>
      <protection locked="0"/>
    </xf>
    <xf numFmtId="3" fontId="15" fillId="0" borderId="1179" xfId="181" applyNumberFormat="1" applyFont="1" applyFill="1" applyBorder="1" applyAlignment="1" applyProtection="1">
      <alignment horizontal="right" vertical="center"/>
      <protection locked="0"/>
    </xf>
    <xf numFmtId="3" fontId="15" fillId="0" borderId="1180" xfId="181" applyNumberFormat="1" applyFont="1" applyFill="1" applyBorder="1" applyAlignment="1" applyProtection="1">
      <alignment horizontal="right" vertical="center"/>
      <protection locked="0"/>
    </xf>
    <xf numFmtId="10" fontId="15" fillId="0" borderId="1179" xfId="177" applyNumberFormat="1" applyFont="1" applyFill="1" applyBorder="1" applyAlignment="1" applyProtection="1">
      <alignment horizontal="right" vertical="center"/>
      <protection locked="0"/>
    </xf>
    <xf numFmtId="49" fontId="15" fillId="16" borderId="75" xfId="181" applyNumberFormat="1" applyFont="1" applyFill="1" applyBorder="1" applyAlignment="1" applyProtection="1">
      <alignment horizontal="center" vertical="center" wrapText="1"/>
      <protection locked="0"/>
    </xf>
    <xf numFmtId="3" fontId="15" fillId="0" borderId="1168" xfId="181" applyNumberFormat="1" applyFont="1" applyFill="1" applyBorder="1" applyAlignment="1" applyProtection="1">
      <alignment horizontal="right" vertical="center"/>
      <protection locked="0"/>
    </xf>
    <xf numFmtId="49" fontId="15" fillId="0" borderId="1090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1181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182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1183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45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1178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186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187" xfId="181" applyNumberFormat="1" applyFont="1" applyFill="1" applyBorder="1" applyAlignment="1" applyProtection="1">
      <alignment horizontal="left" vertical="center" wrapText="1"/>
      <protection locked="0"/>
    </xf>
    <xf numFmtId="10" fontId="27" fillId="9" borderId="75" xfId="177" applyNumberFormat="1" applyFont="1" applyFill="1" applyBorder="1" applyAlignment="1" applyProtection="1">
      <alignment horizontal="right" vertical="center"/>
      <protection locked="0"/>
    </xf>
    <xf numFmtId="49" fontId="44" fillId="21" borderId="52" xfId="181" applyNumberFormat="1" applyFont="1" applyFill="1" applyBorder="1" applyAlignment="1" applyProtection="1">
      <alignment horizontal="center" vertical="center" wrapText="1"/>
      <protection locked="0"/>
    </xf>
    <xf numFmtId="3" fontId="15" fillId="2" borderId="1178" xfId="181" applyNumberFormat="1" applyFont="1" applyFill="1" applyBorder="1" applyAlignment="1" applyProtection="1">
      <alignment horizontal="right" vertical="center"/>
      <protection locked="0"/>
    </xf>
    <xf numFmtId="3" fontId="15" fillId="2" borderId="1179" xfId="181" applyNumberFormat="1" applyFont="1" applyFill="1" applyBorder="1" applyAlignment="1" applyProtection="1">
      <alignment horizontal="right" vertical="center"/>
      <protection locked="0"/>
    </xf>
    <xf numFmtId="3" fontId="15" fillId="2" borderId="1188" xfId="181" applyNumberFormat="1" applyFont="1" applyFill="1" applyBorder="1" applyAlignment="1" applyProtection="1">
      <alignment horizontal="right" vertical="center"/>
      <protection locked="0"/>
    </xf>
    <xf numFmtId="49" fontId="15" fillId="16" borderId="1189" xfId="181" applyNumberFormat="1" applyFont="1" applyFill="1" applyBorder="1" applyAlignment="1" applyProtection="1">
      <alignment horizontal="center" vertical="center" wrapText="1"/>
      <protection locked="0"/>
    </xf>
    <xf numFmtId="3" fontId="15" fillId="2" borderId="1061" xfId="181" applyNumberFormat="1" applyFont="1" applyFill="1" applyBorder="1" applyAlignment="1" applyProtection="1">
      <alignment horizontal="right" vertical="center"/>
      <protection locked="0"/>
    </xf>
    <xf numFmtId="3" fontId="53" fillId="0" borderId="1143" xfId="181" applyNumberFormat="1" applyFont="1" applyFill="1" applyBorder="1" applyAlignment="1" applyProtection="1">
      <alignment horizontal="right" vertical="center"/>
      <protection locked="0"/>
    </xf>
    <xf numFmtId="3" fontId="53" fillId="0" borderId="1171" xfId="181" applyNumberFormat="1" applyFont="1" applyFill="1" applyBorder="1" applyAlignment="1" applyProtection="1">
      <alignment horizontal="right" vertical="center"/>
      <protection locked="0"/>
    </xf>
    <xf numFmtId="10" fontId="53" fillId="0" borderId="1143" xfId="177" applyNumberFormat="1" applyFont="1" applyFill="1" applyBorder="1" applyAlignment="1" applyProtection="1">
      <alignment horizontal="right" vertical="center"/>
      <protection locked="0"/>
    </xf>
    <xf numFmtId="3" fontId="44" fillId="2" borderId="52" xfId="181" applyNumberFormat="1" applyFont="1" applyFill="1" applyBorder="1" applyAlignment="1" applyProtection="1">
      <alignment horizontal="right" vertical="center"/>
      <protection locked="0"/>
    </xf>
    <xf numFmtId="3" fontId="53" fillId="2" borderId="1178" xfId="181" applyNumberFormat="1" applyFont="1" applyFill="1" applyBorder="1" applyAlignment="1" applyProtection="1">
      <alignment horizontal="right" vertical="center"/>
      <protection locked="0"/>
    </xf>
    <xf numFmtId="49" fontId="53" fillId="16" borderId="1189" xfId="181" applyNumberFormat="1" applyFont="1" applyFill="1" applyBorder="1" applyAlignment="1" applyProtection="1">
      <alignment horizontal="center" vertical="center" wrapText="1"/>
      <protection locked="0"/>
    </xf>
    <xf numFmtId="3" fontId="53" fillId="2" borderId="1061" xfId="181" applyNumberFormat="1" applyFont="1" applyFill="1" applyBorder="1" applyAlignment="1" applyProtection="1">
      <alignment horizontal="right" vertical="center"/>
      <protection locked="0"/>
    </xf>
    <xf numFmtId="10" fontId="53" fillId="0" borderId="1179" xfId="177" applyNumberFormat="1" applyFont="1" applyFill="1" applyBorder="1" applyAlignment="1" applyProtection="1">
      <alignment horizontal="right" vertical="center"/>
      <protection locked="0"/>
    </xf>
    <xf numFmtId="49" fontId="53" fillId="21" borderId="52" xfId="181" applyNumberFormat="1" applyFont="1" applyFill="1" applyBorder="1" applyAlignment="1" applyProtection="1">
      <alignment vertical="center" wrapText="1"/>
      <protection locked="0"/>
    </xf>
    <xf numFmtId="49" fontId="47" fillId="19" borderId="427" xfId="181" applyNumberFormat="1" applyFont="1" applyFill="1" applyBorder="1" applyAlignment="1" applyProtection="1">
      <alignment horizontal="center" vertical="center" wrapText="1"/>
      <protection locked="0"/>
    </xf>
    <xf numFmtId="49" fontId="47" fillId="19" borderId="473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75" xfId="181" applyNumberFormat="1" applyFont="1" applyFill="1" applyBorder="1" applyAlignment="1" applyProtection="1">
      <alignment vertical="center" wrapText="1"/>
      <protection locked="0"/>
    </xf>
    <xf numFmtId="49" fontId="53" fillId="21" borderId="39" xfId="181" applyNumberFormat="1" applyFont="1" applyFill="1" applyBorder="1" applyAlignment="1" applyProtection="1">
      <alignment vertical="center" wrapText="1"/>
      <protection locked="0"/>
    </xf>
    <xf numFmtId="49" fontId="53" fillId="16" borderId="1045" xfId="181" applyNumberFormat="1" applyFont="1" applyFill="1" applyBorder="1" applyAlignment="1" applyProtection="1">
      <alignment vertical="center" wrapText="1"/>
      <protection locked="0"/>
    </xf>
    <xf numFmtId="49" fontId="53" fillId="16" borderId="1035" xfId="181" applyNumberFormat="1" applyFont="1" applyFill="1" applyBorder="1" applyAlignment="1" applyProtection="1">
      <alignment vertical="center" wrapText="1"/>
      <protection locked="0"/>
    </xf>
    <xf numFmtId="3" fontId="53" fillId="0" borderId="1034" xfId="181" applyNumberFormat="1" applyFont="1" applyFill="1" applyBorder="1" applyAlignment="1" applyProtection="1">
      <alignment horizontal="right" vertical="center"/>
      <protection locked="0"/>
    </xf>
    <xf numFmtId="3" fontId="53" fillId="0" borderId="1035" xfId="181" applyNumberFormat="1" applyFont="1" applyFill="1" applyBorder="1" applyAlignment="1" applyProtection="1">
      <alignment horizontal="right" vertical="center"/>
      <protection locked="0"/>
    </xf>
    <xf numFmtId="10" fontId="53" fillId="0" borderId="1034" xfId="177" applyNumberFormat="1" applyFont="1" applyFill="1" applyBorder="1" applyAlignment="1" applyProtection="1">
      <alignment horizontal="right" vertical="center"/>
      <protection locked="0"/>
    </xf>
    <xf numFmtId="3" fontId="53" fillId="0" borderId="1193" xfId="181" applyNumberFormat="1" applyFont="1" applyFill="1" applyBorder="1" applyAlignment="1" applyProtection="1">
      <alignment horizontal="right" vertical="center"/>
      <protection locked="0"/>
    </xf>
    <xf numFmtId="3" fontId="53" fillId="0" borderId="1195" xfId="181" applyNumberFormat="1" applyFont="1" applyFill="1" applyBorder="1" applyAlignment="1" applyProtection="1">
      <alignment horizontal="right" vertical="center"/>
      <protection locked="0"/>
    </xf>
    <xf numFmtId="3" fontId="15" fillId="0" borderId="1193" xfId="181" applyNumberFormat="1" applyFont="1" applyFill="1" applyBorder="1" applyAlignment="1" applyProtection="1">
      <alignment horizontal="right" vertical="center"/>
      <protection locked="0"/>
    </xf>
    <xf numFmtId="3" fontId="15" fillId="0" borderId="1194" xfId="181" applyNumberFormat="1" applyFont="1" applyFill="1" applyBorder="1" applyAlignment="1" applyProtection="1">
      <alignment horizontal="right" vertical="center"/>
      <protection locked="0"/>
    </xf>
    <xf numFmtId="49" fontId="15" fillId="16" borderId="1198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086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0" xfId="181" applyNumberFormat="1" applyFont="1" applyFill="1" applyBorder="1" applyAlignment="1" applyProtection="1">
      <alignment horizontal="left" vertical="center" wrapText="1"/>
      <protection locked="0"/>
    </xf>
    <xf numFmtId="3" fontId="53" fillId="0" borderId="1033" xfId="181" applyNumberFormat="1" applyFont="1" applyFill="1" applyBorder="1" applyAlignment="1" applyProtection="1">
      <alignment horizontal="right" vertical="center"/>
      <protection locked="0"/>
    </xf>
    <xf numFmtId="10" fontId="53" fillId="0" borderId="1040" xfId="177" applyNumberFormat="1" applyFont="1" applyFill="1" applyBorder="1" applyAlignment="1" applyProtection="1">
      <alignment horizontal="right" vertical="center"/>
      <protection locked="0"/>
    </xf>
    <xf numFmtId="3" fontId="27" fillId="2" borderId="1045" xfId="181" applyNumberFormat="1" applyFont="1" applyFill="1" applyBorder="1" applyAlignment="1" applyProtection="1">
      <alignment horizontal="right" vertical="center"/>
      <protection locked="0"/>
    </xf>
    <xf numFmtId="3" fontId="27" fillId="2" borderId="1034" xfId="181" applyNumberFormat="1" applyFont="1" applyFill="1" applyBorder="1" applyAlignment="1" applyProtection="1">
      <alignment horizontal="right" vertical="center"/>
      <protection locked="0"/>
    </xf>
    <xf numFmtId="3" fontId="27" fillId="2" borderId="1046" xfId="181" applyNumberFormat="1" applyFont="1" applyFill="1" applyBorder="1" applyAlignment="1" applyProtection="1">
      <alignment horizontal="right" vertical="center"/>
      <protection locked="0"/>
    </xf>
    <xf numFmtId="10" fontId="27" fillId="0" borderId="1200" xfId="177" applyNumberFormat="1" applyFont="1" applyFill="1" applyBorder="1" applyAlignment="1" applyProtection="1">
      <alignment horizontal="right" vertical="center"/>
      <protection locked="0"/>
    </xf>
    <xf numFmtId="3" fontId="15" fillId="2" borderId="1201" xfId="181" applyNumberFormat="1" applyFont="1" applyFill="1" applyBorder="1" applyAlignment="1" applyProtection="1">
      <alignment horizontal="right" vertical="center"/>
      <protection locked="0"/>
    </xf>
    <xf numFmtId="3" fontId="15" fillId="2" borderId="1034" xfId="181" applyNumberFormat="1" applyFont="1" applyFill="1" applyBorder="1" applyAlignment="1" applyProtection="1">
      <alignment horizontal="right" vertical="center"/>
      <protection locked="0"/>
    </xf>
    <xf numFmtId="49" fontId="15" fillId="16" borderId="686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202" xfId="181" applyNumberFormat="1" applyFont="1" applyFill="1" applyBorder="1" applyAlignment="1" applyProtection="1">
      <alignment horizontal="center" vertical="center" wrapText="1"/>
      <protection locked="0"/>
    </xf>
    <xf numFmtId="10" fontId="27" fillId="0" borderId="1065" xfId="177" applyNumberFormat="1" applyFont="1" applyFill="1" applyBorder="1" applyAlignment="1" applyProtection="1">
      <alignment horizontal="right" vertical="center"/>
      <protection locked="0"/>
    </xf>
    <xf numFmtId="3" fontId="15" fillId="0" borderId="1201" xfId="181" applyNumberFormat="1" applyFont="1" applyFill="1" applyBorder="1" applyAlignment="1" applyProtection="1">
      <alignment horizontal="right" vertical="center"/>
      <protection locked="0"/>
    </xf>
    <xf numFmtId="3" fontId="15" fillId="0" borderId="1203" xfId="181" applyNumberFormat="1" applyFont="1" applyFill="1" applyBorder="1" applyAlignment="1" applyProtection="1">
      <alignment horizontal="right" vertical="center"/>
      <protection locked="0"/>
    </xf>
    <xf numFmtId="3" fontId="15" fillId="0" borderId="1051" xfId="181" applyNumberFormat="1" applyFont="1" applyFill="1" applyBorder="1" applyAlignment="1" applyProtection="1">
      <alignment horizontal="right" vertical="center"/>
      <protection locked="0"/>
    </xf>
    <xf numFmtId="49" fontId="15" fillId="16" borderId="33" xfId="181" applyNumberFormat="1" applyFont="1" applyFill="1" applyBorder="1" applyAlignment="1" applyProtection="1">
      <alignment vertical="center" wrapText="1"/>
      <protection locked="0"/>
    </xf>
    <xf numFmtId="49" fontId="15" fillId="16" borderId="1204" xfId="181" applyNumberFormat="1" applyFont="1" applyFill="1" applyBorder="1" applyAlignment="1" applyProtection="1">
      <alignment horizontal="center" vertical="center" wrapText="1"/>
      <protection locked="0"/>
    </xf>
    <xf numFmtId="3" fontId="15" fillId="0" borderId="473" xfId="181" applyNumberFormat="1" applyFont="1" applyFill="1" applyBorder="1" applyAlignment="1" applyProtection="1">
      <alignment horizontal="right" vertical="center"/>
      <protection locked="0"/>
    </xf>
    <xf numFmtId="10" fontId="15" fillId="0" borderId="49" xfId="177" applyNumberFormat="1" applyFont="1" applyFill="1" applyBorder="1" applyAlignment="1" applyProtection="1">
      <alignment horizontal="right" vertical="center"/>
      <protection locked="0"/>
    </xf>
    <xf numFmtId="49" fontId="27" fillId="17" borderId="131" xfId="181" applyNumberFormat="1" applyFont="1" applyFill="1" applyBorder="1" applyAlignment="1" applyProtection="1">
      <alignment vertical="top" wrapText="1"/>
      <protection locked="0"/>
    </xf>
    <xf numFmtId="3" fontId="27" fillId="17" borderId="128" xfId="181" applyNumberFormat="1" applyFont="1" applyFill="1" applyBorder="1" applyAlignment="1" applyProtection="1">
      <alignment vertical="top" wrapText="1"/>
      <protection locked="0"/>
    </xf>
    <xf numFmtId="3" fontId="27" fillId="17" borderId="473" xfId="181" applyNumberFormat="1" applyFont="1" applyFill="1" applyBorder="1" applyAlignment="1" applyProtection="1">
      <alignment vertical="top" wrapText="1"/>
      <protection locked="0"/>
    </xf>
    <xf numFmtId="10" fontId="15" fillId="9" borderId="128" xfId="177" applyNumberFormat="1" applyFont="1" applyFill="1" applyBorder="1" applyAlignment="1" applyProtection="1">
      <alignment horizontal="right" vertical="center"/>
      <protection locked="0"/>
    </xf>
    <xf numFmtId="3" fontId="47" fillId="19" borderId="131" xfId="181" applyNumberFormat="1" applyFont="1" applyFill="1" applyBorder="1" applyAlignment="1" applyProtection="1">
      <alignment horizontal="right" vertical="center" wrapText="1"/>
      <protection locked="0"/>
    </xf>
    <xf numFmtId="3" fontId="47" fillId="19" borderId="128" xfId="181" applyNumberFormat="1" applyFont="1" applyFill="1" applyBorder="1" applyAlignment="1" applyProtection="1">
      <alignment horizontal="right" vertical="center" wrapText="1"/>
      <protection locked="0"/>
    </xf>
    <xf numFmtId="3" fontId="47" fillId="19" borderId="132" xfId="181" applyNumberFormat="1" applyFont="1" applyFill="1" applyBorder="1" applyAlignment="1" applyProtection="1">
      <alignment horizontal="right" vertical="center" wrapText="1"/>
      <protection locked="0"/>
    </xf>
    <xf numFmtId="10" fontId="47" fillId="20" borderId="128" xfId="177" applyNumberFormat="1" applyFont="1" applyFill="1" applyBorder="1" applyAlignment="1" applyProtection="1">
      <alignment horizontal="right" vertical="center"/>
      <protection locked="0"/>
    </xf>
    <xf numFmtId="3" fontId="15" fillId="16" borderId="482" xfId="181" applyNumberFormat="1" applyFont="1" applyFill="1" applyBorder="1" applyAlignment="1" applyProtection="1">
      <alignment horizontal="right" vertical="center" wrapText="1"/>
      <protection locked="0"/>
    </xf>
    <xf numFmtId="3" fontId="15" fillId="16" borderId="41" xfId="181" applyNumberFormat="1" applyFont="1" applyFill="1" applyBorder="1" applyAlignment="1" applyProtection="1">
      <alignment horizontal="right" vertical="center" wrapText="1"/>
      <protection locked="0"/>
    </xf>
    <xf numFmtId="3" fontId="15" fillId="16" borderId="700" xfId="181" applyNumberFormat="1" applyFont="1" applyFill="1" applyBorder="1" applyAlignment="1" applyProtection="1">
      <alignment horizontal="right" vertical="center" wrapText="1"/>
      <protection locked="0"/>
    </xf>
    <xf numFmtId="3" fontId="48" fillId="16" borderId="1201" xfId="181" applyNumberFormat="1" applyFont="1" applyFill="1" applyBorder="1" applyAlignment="1" applyProtection="1">
      <alignment horizontal="right" vertical="center" wrapText="1"/>
      <protection locked="0"/>
    </xf>
    <xf numFmtId="3" fontId="48" fillId="16" borderId="1034" xfId="181" applyNumberFormat="1" applyFont="1" applyFill="1" applyBorder="1" applyAlignment="1" applyProtection="1">
      <alignment horizontal="right" vertical="center" wrapText="1"/>
      <protection locked="0"/>
    </xf>
    <xf numFmtId="3" fontId="48" fillId="16" borderId="1203" xfId="181" applyNumberFormat="1" applyFont="1" applyFill="1" applyBorder="1" applyAlignment="1" applyProtection="1">
      <alignment horizontal="right" vertical="center" wrapText="1"/>
      <protection locked="0"/>
    </xf>
    <xf numFmtId="3" fontId="15" fillId="16" borderId="1201" xfId="181" applyNumberFormat="1" applyFont="1" applyFill="1" applyBorder="1" applyAlignment="1" applyProtection="1">
      <alignment horizontal="right" vertical="center" wrapText="1"/>
      <protection locked="0"/>
    </xf>
    <xf numFmtId="3" fontId="15" fillId="16" borderId="1034" xfId="181" applyNumberFormat="1" applyFont="1" applyFill="1" applyBorder="1" applyAlignment="1" applyProtection="1">
      <alignment horizontal="right" vertical="center" wrapText="1"/>
      <protection locked="0"/>
    </xf>
    <xf numFmtId="3" fontId="15" fillId="16" borderId="1203" xfId="181" applyNumberFormat="1" applyFont="1" applyFill="1" applyBorder="1" applyAlignment="1" applyProtection="1">
      <alignment horizontal="right" vertical="center" wrapText="1"/>
      <protection locked="0"/>
    </xf>
    <xf numFmtId="3" fontId="15" fillId="16" borderId="1205" xfId="181" applyNumberFormat="1" applyFont="1" applyFill="1" applyBorder="1" applyAlignment="1" applyProtection="1">
      <alignment horizontal="right" vertical="center" wrapText="1"/>
      <protection locked="0"/>
    </xf>
    <xf numFmtId="3" fontId="15" fillId="16" borderId="1206" xfId="181" applyNumberFormat="1" applyFont="1" applyFill="1" applyBorder="1" applyAlignment="1" applyProtection="1">
      <alignment horizontal="right" vertical="center" wrapText="1"/>
      <protection locked="0"/>
    </xf>
    <xf numFmtId="3" fontId="15" fillId="16" borderId="1207" xfId="181" applyNumberFormat="1" applyFont="1" applyFill="1" applyBorder="1" applyAlignment="1" applyProtection="1">
      <alignment horizontal="right" vertical="center" wrapText="1"/>
      <protection locked="0"/>
    </xf>
    <xf numFmtId="10" fontId="15" fillId="0" borderId="1206" xfId="177" applyNumberFormat="1" applyFont="1" applyFill="1" applyBorder="1" applyAlignment="1" applyProtection="1">
      <alignment horizontal="right" vertical="center"/>
      <protection locked="0"/>
    </xf>
    <xf numFmtId="3" fontId="15" fillId="16" borderId="1018" xfId="181" applyNumberFormat="1" applyFont="1" applyFill="1" applyBorder="1" applyAlignment="1" applyProtection="1">
      <alignment horizontal="right" vertical="center" wrapText="1"/>
      <protection locked="0"/>
    </xf>
    <xf numFmtId="3" fontId="15" fillId="16" borderId="54" xfId="181" applyNumberFormat="1" applyFont="1" applyFill="1" applyBorder="1" applyAlignment="1" applyProtection="1">
      <alignment horizontal="right" vertical="center" wrapText="1"/>
      <protection locked="0"/>
    </xf>
    <xf numFmtId="3" fontId="15" fillId="16" borderId="1209" xfId="181" applyNumberFormat="1" applyFont="1" applyFill="1" applyBorder="1" applyAlignment="1" applyProtection="1">
      <alignment horizontal="right" vertical="center" wrapText="1"/>
      <protection locked="0"/>
    </xf>
    <xf numFmtId="49" fontId="96" fillId="16" borderId="0" xfId="181" applyNumberFormat="1" applyFont="1" applyFill="1" applyBorder="1" applyAlignment="1" applyProtection="1">
      <alignment vertical="top" wrapText="1"/>
      <protection locked="0"/>
    </xf>
    <xf numFmtId="3" fontId="96" fillId="16" borderId="0" xfId="181" applyNumberFormat="1" applyFont="1" applyFill="1" applyBorder="1" applyAlignment="1" applyProtection="1">
      <alignment vertical="top" wrapText="1"/>
      <protection locked="0"/>
    </xf>
    <xf numFmtId="164" fontId="96" fillId="16" borderId="0" xfId="181" applyNumberFormat="1" applyFont="1" applyFill="1" applyBorder="1" applyAlignment="1" applyProtection="1">
      <alignment vertical="top" wrapText="1"/>
      <protection locked="0"/>
    </xf>
    <xf numFmtId="3" fontId="23" fillId="0" borderId="0" xfId="1" applyNumberFormat="1" applyFont="1" applyAlignment="1">
      <alignment horizontal="right"/>
    </xf>
    <xf numFmtId="0" fontId="19" fillId="0" borderId="1210" xfId="1" applyFont="1" applyBorder="1" applyAlignment="1">
      <alignment horizontal="left" vertical="center" wrapText="1"/>
    </xf>
    <xf numFmtId="0" fontId="19" fillId="0" borderId="1210" xfId="1" applyFont="1" applyBorder="1" applyAlignment="1">
      <alignment horizontal="center" vertical="center" wrapText="1"/>
    </xf>
    <xf numFmtId="3" fontId="19" fillId="0" borderId="1210" xfId="1" applyNumberFormat="1" applyFont="1" applyBorder="1" applyAlignment="1">
      <alignment horizontal="right" vertical="center" wrapText="1"/>
    </xf>
    <xf numFmtId="0" fontId="19" fillId="0" borderId="428" xfId="1" applyFont="1" applyBorder="1" applyAlignment="1">
      <alignment horizontal="center" vertical="center" wrapText="1"/>
    </xf>
    <xf numFmtId="0" fontId="19" fillId="0" borderId="428" xfId="1" applyFont="1" applyBorder="1" applyAlignment="1">
      <alignment horizontal="left" vertical="center" wrapText="1"/>
    </xf>
    <xf numFmtId="3" fontId="19" fillId="0" borderId="428" xfId="1" applyNumberFormat="1" applyFont="1" applyBorder="1" applyAlignment="1">
      <alignment horizontal="right" vertical="center" wrapText="1"/>
    </xf>
    <xf numFmtId="3" fontId="22" fillId="4" borderId="1210" xfId="1" applyNumberFormat="1" applyFont="1" applyFill="1" applyBorder="1" applyAlignment="1">
      <alignment horizontal="right" vertical="center" wrapText="1"/>
    </xf>
    <xf numFmtId="0" fontId="22" fillId="4" borderId="1200" xfId="1" applyFont="1" applyFill="1" applyBorder="1" applyAlignment="1">
      <alignment horizontal="center" vertical="center" wrapText="1"/>
    </xf>
    <xf numFmtId="0" fontId="80" fillId="11" borderId="47" xfId="9" applyFont="1" applyFill="1" applyBorder="1" applyAlignment="1">
      <alignment horizontal="left" vertical="center"/>
    </xf>
    <xf numFmtId="0" fontId="33" fillId="0" borderId="19" xfId="178" applyFont="1" applyBorder="1" applyAlignment="1">
      <alignment horizontal="left" vertical="center"/>
    </xf>
    <xf numFmtId="0" fontId="84" fillId="11" borderId="42" xfId="9" applyFont="1" applyFill="1" applyBorder="1" applyAlignment="1">
      <alignment horizontal="left" vertical="center"/>
    </xf>
    <xf numFmtId="0" fontId="62" fillId="0" borderId="21" xfId="178" applyFont="1" applyBorder="1" applyAlignment="1">
      <alignment horizontal="left" vertical="center"/>
    </xf>
    <xf numFmtId="0" fontId="84" fillId="11" borderId="55" xfId="9" applyFont="1" applyFill="1" applyBorder="1" applyAlignment="1">
      <alignment horizontal="left" vertical="center"/>
    </xf>
    <xf numFmtId="0" fontId="62" fillId="0" borderId="53" xfId="178" applyFont="1" applyBorder="1" applyAlignment="1">
      <alignment horizontal="left" vertical="center"/>
    </xf>
    <xf numFmtId="0" fontId="48" fillId="11" borderId="50" xfId="9" applyFont="1" applyFill="1" applyBorder="1" applyAlignment="1">
      <alignment horizontal="left" vertical="center" wrapText="1"/>
    </xf>
    <xf numFmtId="0" fontId="48" fillId="11" borderId="61" xfId="9" applyFont="1" applyFill="1" applyBorder="1" applyAlignment="1">
      <alignment horizontal="left" vertical="center" wrapText="1"/>
    </xf>
    <xf numFmtId="0" fontId="48" fillId="11" borderId="55" xfId="9" applyFont="1" applyFill="1" applyBorder="1" applyAlignment="1">
      <alignment horizontal="left" vertical="center" wrapText="1"/>
    </xf>
    <xf numFmtId="0" fontId="48" fillId="11" borderId="29" xfId="9" applyFont="1" applyFill="1" applyBorder="1" applyAlignment="1">
      <alignment horizontal="left" vertical="center" wrapText="1"/>
    </xf>
    <xf numFmtId="0" fontId="52" fillId="11" borderId="50" xfId="9" applyFont="1" applyFill="1" applyBorder="1" applyAlignment="1">
      <alignment horizontal="left" vertical="center" wrapText="1"/>
    </xf>
    <xf numFmtId="0" fontId="52" fillId="11" borderId="40" xfId="9" applyFont="1" applyFill="1" applyBorder="1" applyAlignment="1">
      <alignment horizontal="left" vertical="center" wrapText="1"/>
    </xf>
    <xf numFmtId="0" fontId="52" fillId="11" borderId="58" xfId="9" applyFont="1" applyFill="1" applyBorder="1" applyAlignment="1">
      <alignment horizontal="left" vertical="center" wrapText="1"/>
    </xf>
    <xf numFmtId="0" fontId="52" fillId="11" borderId="0" xfId="9" applyFont="1" applyFill="1" applyAlignment="1">
      <alignment horizontal="left" vertical="center" wrapText="1"/>
    </xf>
    <xf numFmtId="0" fontId="22" fillId="9" borderId="37" xfId="9" applyFont="1" applyFill="1" applyBorder="1" applyAlignment="1">
      <alignment horizontal="center" vertical="center" wrapText="1"/>
    </xf>
    <xf numFmtId="0" fontId="22" fillId="9" borderId="38" xfId="9" applyFont="1" applyFill="1" applyBorder="1" applyAlignment="1">
      <alignment horizontal="center" vertical="center" wrapText="1"/>
    </xf>
    <xf numFmtId="0" fontId="59" fillId="11" borderId="31" xfId="9" applyFont="1" applyFill="1" applyBorder="1" applyAlignment="1">
      <alignment horizontal="left" vertical="center" wrapText="1"/>
    </xf>
    <xf numFmtId="0" fontId="59" fillId="11" borderId="56" xfId="9" applyFont="1" applyFill="1" applyBorder="1" applyAlignment="1">
      <alignment horizontal="left" vertical="center" wrapText="1"/>
    </xf>
    <xf numFmtId="0" fontId="59" fillId="11" borderId="55" xfId="9" applyFont="1" applyFill="1" applyBorder="1" applyAlignment="1">
      <alignment horizontal="left" vertical="center" wrapText="1"/>
    </xf>
    <xf numFmtId="0" fontId="59" fillId="11" borderId="53" xfId="9" applyFont="1" applyFill="1" applyBorder="1" applyAlignment="1">
      <alignment horizontal="left" vertical="center" wrapText="1"/>
    </xf>
    <xf numFmtId="0" fontId="40" fillId="0" borderId="30" xfId="9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59" fillId="11" borderId="50" xfId="9" applyFont="1" applyFill="1" applyBorder="1" applyAlignment="1">
      <alignment horizontal="left" vertical="center" wrapText="1"/>
    </xf>
    <xf numFmtId="0" fontId="59" fillId="11" borderId="61" xfId="9" applyFont="1" applyFill="1" applyBorder="1" applyAlignment="1">
      <alignment horizontal="left" vertical="center" wrapText="1"/>
    </xf>
    <xf numFmtId="10" fontId="59" fillId="2" borderId="44" xfId="9" applyNumberFormat="1" applyFont="1" applyFill="1" applyBorder="1" applyAlignment="1">
      <alignment horizontal="left" vertical="center" wrapText="1"/>
    </xf>
    <xf numFmtId="10" fontId="0" fillId="0" borderId="39" xfId="0" applyNumberFormat="1" applyBorder="1" applyAlignment="1">
      <alignment vertical="center" wrapText="1"/>
    </xf>
    <xf numFmtId="10" fontId="0" fillId="0" borderId="41" xfId="0" applyNumberFormat="1" applyBorder="1" applyAlignment="1">
      <alignment vertical="center" wrapText="1"/>
    </xf>
    <xf numFmtId="0" fontId="59" fillId="11" borderId="24" xfId="9" applyFont="1" applyFill="1" applyBorder="1" applyAlignment="1">
      <alignment horizontal="left" vertical="center" wrapText="1"/>
    </xf>
    <xf numFmtId="0" fontId="59" fillId="11" borderId="63" xfId="9" applyFont="1" applyFill="1" applyBorder="1" applyAlignment="1">
      <alignment horizontal="left" vertical="center" wrapText="1"/>
    </xf>
    <xf numFmtId="0" fontId="59" fillId="11" borderId="34" xfId="9" applyFont="1" applyFill="1" applyBorder="1" applyAlignment="1">
      <alignment horizontal="left" vertical="center" wrapText="1"/>
    </xf>
    <xf numFmtId="0" fontId="59" fillId="11" borderId="29" xfId="9" applyFont="1" applyFill="1" applyBorder="1" applyAlignment="1">
      <alignment horizontal="left" vertical="center" wrapText="1"/>
    </xf>
    <xf numFmtId="0" fontId="48" fillId="11" borderId="53" xfId="9" applyFont="1" applyFill="1" applyBorder="1" applyAlignment="1">
      <alignment horizontal="left" vertical="center" wrapText="1"/>
    </xf>
    <xf numFmtId="0" fontId="63" fillId="0" borderId="39" xfId="9" applyFont="1" applyBorder="1" applyAlignment="1">
      <alignment horizontal="center" vertical="center" wrapText="1"/>
    </xf>
    <xf numFmtId="0" fontId="63" fillId="0" borderId="33" xfId="9" applyFont="1" applyBorder="1" applyAlignment="1">
      <alignment horizontal="center" vertical="center" wrapText="1"/>
    </xf>
    <xf numFmtId="0" fontId="52" fillId="11" borderId="21" xfId="9" applyFont="1" applyFill="1" applyBorder="1" applyAlignment="1">
      <alignment horizontal="left" vertical="center" wrapText="1"/>
    </xf>
    <xf numFmtId="0" fontId="52" fillId="0" borderId="58" xfId="9" applyFont="1" applyBorder="1" applyAlignment="1">
      <alignment horizontal="center" vertical="center" wrapText="1"/>
    </xf>
    <xf numFmtId="0" fontId="52" fillId="0" borderId="52" xfId="9" applyFont="1" applyBorder="1" applyAlignment="1">
      <alignment horizontal="center" vertical="center" wrapText="1"/>
    </xf>
    <xf numFmtId="0" fontId="52" fillId="0" borderId="42" xfId="9" applyFont="1" applyBorder="1" applyAlignment="1">
      <alignment horizontal="center" vertical="center" wrapText="1"/>
    </xf>
    <xf numFmtId="49" fontId="53" fillId="0" borderId="44" xfId="9" applyNumberFormat="1" applyFont="1" applyBorder="1" applyAlignment="1">
      <alignment horizontal="center" vertical="center" wrapText="1"/>
    </xf>
    <xf numFmtId="49" fontId="53" fillId="0" borderId="39" xfId="9" applyNumberFormat="1" applyFont="1" applyBorder="1" applyAlignment="1">
      <alignment horizontal="center" vertical="center" wrapText="1"/>
    </xf>
    <xf numFmtId="49" fontId="53" fillId="0" borderId="41" xfId="9" applyNumberFormat="1" applyFont="1" applyBorder="1" applyAlignment="1">
      <alignment horizontal="center" vertical="center" wrapText="1"/>
    </xf>
    <xf numFmtId="0" fontId="52" fillId="11" borderId="53" xfId="9" applyFont="1" applyFill="1" applyBorder="1" applyAlignment="1">
      <alignment horizontal="left" vertical="center" wrapText="1"/>
    </xf>
    <xf numFmtId="0" fontId="48" fillId="11" borderId="40" xfId="9" applyFont="1" applyFill="1" applyBorder="1" applyAlignment="1">
      <alignment horizontal="left" vertical="center" wrapText="1"/>
    </xf>
    <xf numFmtId="0" fontId="54" fillId="2" borderId="44" xfId="9" applyFont="1" applyFill="1" applyBorder="1" applyAlignment="1">
      <alignment horizontal="center" vertical="center" wrapText="1"/>
    </xf>
    <xf numFmtId="0" fontId="54" fillId="2" borderId="39" xfId="9" applyFont="1" applyFill="1" applyBorder="1" applyAlignment="1">
      <alignment horizontal="center" vertical="center" wrapText="1"/>
    </xf>
    <xf numFmtId="0" fontId="54" fillId="2" borderId="41" xfId="9" applyFont="1" applyFill="1" applyBorder="1" applyAlignment="1">
      <alignment horizontal="center" vertical="center" wrapText="1"/>
    </xf>
    <xf numFmtId="0" fontId="15" fillId="0" borderId="44" xfId="9" applyFont="1" applyBorder="1" applyAlignment="1">
      <alignment horizontal="left" vertical="center" wrapText="1"/>
    </xf>
    <xf numFmtId="0" fontId="15" fillId="0" borderId="41" xfId="9" applyFont="1" applyBorder="1" applyAlignment="1">
      <alignment horizontal="left" vertical="center" wrapText="1"/>
    </xf>
    <xf numFmtId="0" fontId="48" fillId="11" borderId="21" xfId="9" applyFont="1" applyFill="1" applyBorder="1" applyAlignment="1">
      <alignment horizontal="left" vertical="center" wrapText="1"/>
    </xf>
    <xf numFmtId="0" fontId="48" fillId="11" borderId="0" xfId="9" applyFont="1" applyFill="1" applyAlignment="1">
      <alignment horizontal="left" vertical="center" wrapText="1"/>
    </xf>
    <xf numFmtId="0" fontId="48" fillId="2" borderId="44" xfId="9" applyFont="1" applyFill="1" applyBorder="1" applyAlignment="1">
      <alignment horizontal="center" vertical="center" wrapText="1"/>
    </xf>
    <xf numFmtId="0" fontId="48" fillId="2" borderId="39" xfId="9" applyFont="1" applyFill="1" applyBorder="1" applyAlignment="1">
      <alignment horizontal="center" vertical="center" wrapText="1"/>
    </xf>
    <xf numFmtId="0" fontId="48" fillId="2" borderId="41" xfId="9" applyFont="1" applyFill="1" applyBorder="1" applyAlignment="1">
      <alignment horizontal="center" vertical="center" wrapText="1"/>
    </xf>
    <xf numFmtId="0" fontId="59" fillId="11" borderId="21" xfId="9" applyFont="1" applyFill="1" applyBorder="1" applyAlignment="1">
      <alignment horizontal="left" vertical="center" wrapText="1"/>
    </xf>
    <xf numFmtId="0" fontId="59" fillId="11" borderId="42" xfId="9" applyFont="1" applyFill="1" applyBorder="1" applyAlignment="1">
      <alignment horizontal="left" vertical="center" wrapText="1"/>
    </xf>
    <xf numFmtId="0" fontId="48" fillId="11" borderId="66" xfId="9" applyFont="1" applyFill="1" applyBorder="1" applyAlignment="1">
      <alignment horizontal="left" vertical="center" wrapText="1"/>
    </xf>
    <xf numFmtId="0" fontId="48" fillId="11" borderId="67" xfId="9" applyFont="1" applyFill="1" applyBorder="1" applyAlignment="1">
      <alignment horizontal="left" vertical="center" wrapText="1"/>
    </xf>
    <xf numFmtId="0" fontId="15" fillId="2" borderId="30" xfId="9" applyFont="1" applyFill="1" applyBorder="1" applyAlignment="1">
      <alignment horizontal="center" vertical="center" wrapText="1"/>
    </xf>
    <xf numFmtId="0" fontId="15" fillId="2" borderId="39" xfId="9" applyFont="1" applyFill="1" applyBorder="1" applyAlignment="1">
      <alignment horizontal="center" vertical="center" wrapText="1"/>
    </xf>
    <xf numFmtId="0" fontId="48" fillId="11" borderId="52" xfId="9" applyFont="1" applyFill="1" applyBorder="1" applyAlignment="1">
      <alignment horizontal="left" vertical="center" wrapText="1"/>
    </xf>
    <xf numFmtId="0" fontId="44" fillId="0" borderId="39" xfId="178" applyFont="1" applyBorder="1" applyAlignment="1">
      <alignment horizontal="center"/>
    </xf>
    <xf numFmtId="0" fontId="44" fillId="0" borderId="33" xfId="178" applyFont="1" applyBorder="1" applyAlignment="1">
      <alignment horizontal="center"/>
    </xf>
    <xf numFmtId="0" fontId="60" fillId="11" borderId="50" xfId="9" applyFont="1" applyFill="1" applyBorder="1" applyAlignment="1">
      <alignment horizontal="left" vertical="center" wrapText="1"/>
    </xf>
    <xf numFmtId="0" fontId="60" fillId="11" borderId="40" xfId="9" applyFont="1" applyFill="1" applyBorder="1" applyAlignment="1">
      <alignment horizontal="left" vertical="center" wrapText="1"/>
    </xf>
    <xf numFmtId="0" fontId="60" fillId="11" borderId="55" xfId="9" applyFont="1" applyFill="1" applyBorder="1" applyAlignment="1">
      <alignment horizontal="left" vertical="center" wrapText="1"/>
    </xf>
    <xf numFmtId="0" fontId="60" fillId="11" borderId="53" xfId="9" applyFont="1" applyFill="1" applyBorder="1" applyAlignment="1">
      <alignment horizontal="left" vertical="center" wrapText="1"/>
    </xf>
    <xf numFmtId="0" fontId="52" fillId="11" borderId="55" xfId="9" applyFont="1" applyFill="1" applyBorder="1" applyAlignment="1">
      <alignment horizontal="left" vertical="center" wrapText="1"/>
    </xf>
    <xf numFmtId="0" fontId="15" fillId="0" borderId="39" xfId="9" applyFont="1" applyBorder="1" applyAlignment="1">
      <alignment horizontal="left" vertical="center" wrapText="1"/>
    </xf>
    <xf numFmtId="49" fontId="10" fillId="2" borderId="44" xfId="9" applyNumberFormat="1" applyFont="1" applyFill="1" applyBorder="1" applyAlignment="1">
      <alignment horizontal="center" vertical="center" wrapText="1"/>
    </xf>
    <xf numFmtId="49" fontId="10" fillId="2" borderId="41" xfId="9" applyNumberFormat="1" applyFont="1" applyFill="1" applyBorder="1" applyAlignment="1">
      <alignment horizontal="center" vertical="center" wrapText="1"/>
    </xf>
    <xf numFmtId="0" fontId="10" fillId="2" borderId="44" xfId="9" quotePrefix="1" applyFont="1" applyFill="1" applyBorder="1" applyAlignment="1">
      <alignment horizontal="left" vertical="center" wrapText="1"/>
    </xf>
    <xf numFmtId="0" fontId="10" fillId="2" borderId="41" xfId="9" quotePrefix="1" applyFont="1" applyFill="1" applyBorder="1" applyAlignment="1">
      <alignment horizontal="left" vertical="center" wrapText="1"/>
    </xf>
    <xf numFmtId="0" fontId="59" fillId="11" borderId="47" xfId="9" applyFont="1" applyFill="1" applyBorder="1" applyAlignment="1">
      <alignment horizontal="left" vertical="center" wrapText="1"/>
    </xf>
    <xf numFmtId="0" fontId="59" fillId="11" borderId="19" xfId="9" applyFont="1" applyFill="1" applyBorder="1" applyAlignment="1">
      <alignment horizontal="left" vertical="center" wrapText="1"/>
    </xf>
    <xf numFmtId="0" fontId="59" fillId="2" borderId="44" xfId="9" applyFont="1" applyFill="1" applyBorder="1" applyAlignment="1">
      <alignment horizontal="center" vertical="center" wrapText="1"/>
    </xf>
    <xf numFmtId="0" fontId="59" fillId="2" borderId="39" xfId="9" applyFont="1" applyFill="1" applyBorder="1" applyAlignment="1">
      <alignment horizontal="center" vertical="center" wrapText="1"/>
    </xf>
    <xf numFmtId="0" fontId="59" fillId="2" borderId="33" xfId="9" applyFont="1" applyFill="1" applyBorder="1" applyAlignment="1">
      <alignment horizontal="center" vertical="center" wrapText="1"/>
    </xf>
    <xf numFmtId="0" fontId="52" fillId="2" borderId="44" xfId="9" applyFont="1" applyFill="1" applyBorder="1" applyAlignment="1">
      <alignment horizontal="center" vertical="center" wrapText="1"/>
    </xf>
    <xf numFmtId="0" fontId="52" fillId="2" borderId="39" xfId="9" applyFont="1" applyFill="1" applyBorder="1" applyAlignment="1">
      <alignment horizontal="center" vertical="center" wrapText="1"/>
    </xf>
    <xf numFmtId="0" fontId="53" fillId="0" borderId="44" xfId="9" quotePrefix="1" applyFont="1" applyBorder="1" applyAlignment="1">
      <alignment horizontal="left" vertical="center" wrapText="1"/>
    </xf>
    <xf numFmtId="0" fontId="53" fillId="0" borderId="41" xfId="9" quotePrefix="1" applyFont="1" applyBorder="1" applyAlignment="1">
      <alignment horizontal="left" vertical="center" wrapText="1"/>
    </xf>
    <xf numFmtId="0" fontId="59" fillId="0" borderId="47" xfId="9" applyFont="1" applyBorder="1" applyAlignment="1">
      <alignment horizontal="center" vertical="center" wrapText="1"/>
    </xf>
    <xf numFmtId="0" fontId="59" fillId="0" borderId="58" xfId="9" applyFont="1" applyBorder="1" applyAlignment="1">
      <alignment horizontal="center" vertical="center" wrapText="1"/>
    </xf>
    <xf numFmtId="0" fontId="10" fillId="0" borderId="46" xfId="9" applyFont="1" applyBorder="1" applyAlignment="1">
      <alignment horizontal="left" vertical="center" wrapText="1"/>
    </xf>
    <xf numFmtId="0" fontId="59" fillId="11" borderId="40" xfId="9" applyFont="1" applyFill="1" applyBorder="1" applyAlignment="1">
      <alignment horizontal="left" vertical="center" wrapText="1"/>
    </xf>
    <xf numFmtId="0" fontId="10" fillId="2" borderId="44" xfId="9" applyFont="1" applyFill="1" applyBorder="1" applyAlignment="1">
      <alignment horizontal="center" vertical="center" wrapText="1"/>
    </xf>
    <xf numFmtId="0" fontId="10" fillId="2" borderId="41" xfId="9" applyFont="1" applyFill="1" applyBorder="1" applyAlignment="1">
      <alignment horizontal="center" vertical="center" wrapText="1"/>
    </xf>
    <xf numFmtId="0" fontId="59" fillId="11" borderId="0" xfId="9" applyFont="1" applyFill="1" applyAlignment="1">
      <alignment horizontal="left" vertical="center" wrapText="1"/>
    </xf>
    <xf numFmtId="0" fontId="72" fillId="11" borderId="24" xfId="9" applyFont="1" applyFill="1" applyBorder="1" applyAlignment="1">
      <alignment horizontal="left" vertical="center" wrapText="1"/>
    </xf>
    <xf numFmtId="0" fontId="72" fillId="11" borderId="62" xfId="9" applyFont="1" applyFill="1" applyBorder="1" applyAlignment="1">
      <alignment horizontal="left" vertical="center" wrapText="1"/>
    </xf>
    <xf numFmtId="0" fontId="66" fillId="2" borderId="48" xfId="9" applyFont="1" applyFill="1" applyBorder="1" applyAlignment="1">
      <alignment horizontal="center" vertical="center" wrapText="1"/>
    </xf>
    <xf numFmtId="0" fontId="66" fillId="2" borderId="43" xfId="9" applyFont="1" applyFill="1" applyBorder="1" applyAlignment="1">
      <alignment horizontal="center" vertical="center" wrapText="1"/>
    </xf>
    <xf numFmtId="0" fontId="52" fillId="11" borderId="45" xfId="9" applyFont="1" applyFill="1" applyBorder="1" applyAlignment="1">
      <alignment horizontal="left" vertical="center" wrapText="1"/>
    </xf>
    <xf numFmtId="0" fontId="72" fillId="11" borderId="19" xfId="9" applyFont="1" applyFill="1" applyBorder="1" applyAlignment="1">
      <alignment horizontal="left" vertical="center" wrapText="1"/>
    </xf>
    <xf numFmtId="0" fontId="59" fillId="2" borderId="48" xfId="9" applyFont="1" applyFill="1" applyBorder="1" applyAlignment="1">
      <alignment horizontal="center" vertical="center" wrapText="1"/>
    </xf>
    <xf numFmtId="0" fontId="59" fillId="2" borderId="35" xfId="9" applyFont="1" applyFill="1" applyBorder="1" applyAlignment="1">
      <alignment horizontal="center" vertical="center" wrapText="1"/>
    </xf>
    <xf numFmtId="0" fontId="52" fillId="11" borderId="19" xfId="9" applyFont="1" applyFill="1" applyBorder="1" applyAlignment="1">
      <alignment horizontal="left" vertical="center" wrapText="1"/>
    </xf>
    <xf numFmtId="0" fontId="48" fillId="11" borderId="56" xfId="9" applyFont="1" applyFill="1" applyBorder="1" applyAlignment="1">
      <alignment horizontal="left" vertical="center" wrapText="1"/>
    </xf>
    <xf numFmtId="0" fontId="67" fillId="0" borderId="58" xfId="178" applyFont="1" applyBorder="1" applyAlignment="1">
      <alignment horizontal="center" vertical="center" wrapText="1"/>
    </xf>
    <xf numFmtId="0" fontId="67" fillId="0" borderId="34" xfId="178" applyFont="1" applyBorder="1" applyAlignment="1">
      <alignment horizontal="center" vertical="center" wrapText="1"/>
    </xf>
    <xf numFmtId="0" fontId="59" fillId="11" borderId="48" xfId="9" applyFont="1" applyFill="1" applyBorder="1" applyAlignment="1">
      <alignment horizontal="center" vertical="center" wrapText="1"/>
    </xf>
    <xf numFmtId="0" fontId="59" fillId="11" borderId="49" xfId="9" applyFont="1" applyFill="1" applyBorder="1" applyAlignment="1">
      <alignment horizontal="center" vertical="center" wrapText="1"/>
    </xf>
    <xf numFmtId="0" fontId="72" fillId="11" borderId="40" xfId="9" applyFont="1" applyFill="1" applyBorder="1" applyAlignment="1">
      <alignment horizontal="left" vertical="center" wrapText="1"/>
    </xf>
    <xf numFmtId="0" fontId="15" fillId="0" borderId="43" xfId="178" applyFont="1" applyBorder="1" applyAlignment="1">
      <alignment horizontal="left" vertical="center" wrapText="1"/>
    </xf>
    <xf numFmtId="0" fontId="15" fillId="0" borderId="22" xfId="178" applyFont="1" applyBorder="1" applyAlignment="1">
      <alignment horizontal="left" vertical="center" wrapText="1"/>
    </xf>
    <xf numFmtId="0" fontId="48" fillId="11" borderId="57" xfId="9" applyFont="1" applyFill="1" applyBorder="1" applyAlignment="1">
      <alignment horizontal="left" vertical="center" wrapText="1"/>
    </xf>
    <xf numFmtId="0" fontId="60" fillId="11" borderId="21" xfId="9" applyFont="1" applyFill="1" applyBorder="1" applyAlignment="1">
      <alignment horizontal="left" vertical="center" wrapText="1"/>
    </xf>
    <xf numFmtId="0" fontId="60" fillId="11" borderId="0" xfId="9" applyFont="1" applyFill="1" applyAlignment="1">
      <alignment horizontal="left" vertical="center" wrapText="1"/>
    </xf>
    <xf numFmtId="0" fontId="60" fillId="11" borderId="45" xfId="9" applyFont="1" applyFill="1" applyBorder="1" applyAlignment="1">
      <alignment horizontal="left" vertical="center" wrapText="1"/>
    </xf>
    <xf numFmtId="49" fontId="15" fillId="0" borderId="44" xfId="9" applyNumberFormat="1" applyFont="1" applyBorder="1" applyAlignment="1">
      <alignment horizontal="center" vertical="center" wrapText="1"/>
    </xf>
    <xf numFmtId="49" fontId="15" fillId="0" borderId="39" xfId="9" applyNumberFormat="1" applyFont="1" applyBorder="1" applyAlignment="1">
      <alignment horizontal="center" vertical="center" wrapText="1"/>
    </xf>
    <xf numFmtId="49" fontId="15" fillId="2" borderId="44" xfId="9" applyNumberFormat="1" applyFont="1" applyFill="1" applyBorder="1" applyAlignment="1">
      <alignment horizontal="center" vertical="center" wrapText="1"/>
    </xf>
    <xf numFmtId="49" fontId="15" fillId="2" borderId="39" xfId="9" applyNumberFormat="1" applyFont="1" applyFill="1" applyBorder="1" applyAlignment="1">
      <alignment horizontal="center" vertical="center" wrapText="1"/>
    </xf>
    <xf numFmtId="49" fontId="15" fillId="2" borderId="41" xfId="9" applyNumberFormat="1" applyFont="1" applyFill="1" applyBorder="1" applyAlignment="1">
      <alignment horizontal="center" vertical="center" wrapText="1"/>
    </xf>
    <xf numFmtId="0" fontId="60" fillId="11" borderId="61" xfId="9" applyFont="1" applyFill="1" applyBorder="1" applyAlignment="1">
      <alignment horizontal="left" vertical="center" wrapText="1"/>
    </xf>
    <xf numFmtId="0" fontId="60" fillId="11" borderId="49" xfId="9" applyFont="1" applyFill="1" applyBorder="1" applyAlignment="1">
      <alignment horizontal="left" vertical="center" wrapText="1"/>
    </xf>
    <xf numFmtId="0" fontId="48" fillId="11" borderId="42" xfId="9" applyFont="1" applyFill="1" applyBorder="1" applyAlignment="1">
      <alignment horizontal="left" vertical="center" wrapText="1"/>
    </xf>
    <xf numFmtId="0" fontId="48" fillId="11" borderId="47" xfId="9" applyFont="1" applyFill="1" applyBorder="1" applyAlignment="1">
      <alignment horizontal="left" vertical="center" wrapText="1"/>
    </xf>
    <xf numFmtId="0" fontId="48" fillId="11" borderId="22" xfId="9" applyFont="1" applyFill="1" applyBorder="1" applyAlignment="1">
      <alignment horizontal="left" vertical="center" wrapText="1"/>
    </xf>
    <xf numFmtId="0" fontId="48" fillId="2" borderId="48" xfId="9" applyFont="1" applyFill="1" applyBorder="1" applyAlignment="1">
      <alignment horizontal="center" vertical="center" wrapText="1"/>
    </xf>
    <xf numFmtId="0" fontId="48" fillId="2" borderId="43" xfId="9" applyFont="1" applyFill="1" applyBorder="1" applyAlignment="1">
      <alignment horizontal="center" vertical="center" wrapText="1"/>
    </xf>
    <xf numFmtId="0" fontId="15" fillId="2" borderId="44" xfId="9" applyFont="1" applyFill="1" applyBorder="1" applyAlignment="1">
      <alignment horizontal="center" vertical="center" wrapText="1"/>
    </xf>
    <xf numFmtId="0" fontId="15" fillId="2" borderId="41" xfId="9" applyFont="1" applyFill="1" applyBorder="1" applyAlignment="1">
      <alignment horizontal="center" vertical="center" wrapText="1"/>
    </xf>
    <xf numFmtId="0" fontId="48" fillId="11" borderId="43" xfId="9" applyFont="1" applyFill="1" applyBorder="1" applyAlignment="1">
      <alignment horizontal="left" vertical="center" wrapText="1"/>
    </xf>
    <xf numFmtId="0" fontId="15" fillId="2" borderId="33" xfId="9" applyFont="1" applyFill="1" applyBorder="1" applyAlignment="1">
      <alignment horizontal="center" vertical="center" wrapText="1"/>
    </xf>
    <xf numFmtId="0" fontId="57" fillId="2" borderId="44" xfId="9" applyFont="1" applyFill="1" applyBorder="1" applyAlignment="1">
      <alignment horizontal="center" vertical="center" wrapText="1"/>
    </xf>
    <xf numFmtId="0" fontId="57" fillId="2" borderId="41" xfId="9" applyFont="1" applyFill="1" applyBorder="1" applyAlignment="1">
      <alignment horizontal="center" vertical="center" wrapText="1"/>
    </xf>
    <xf numFmtId="0" fontId="59" fillId="11" borderId="45" xfId="9" applyFont="1" applyFill="1" applyBorder="1" applyAlignment="1">
      <alignment horizontal="left" vertical="center" wrapText="1"/>
    </xf>
    <xf numFmtId="0" fontId="48" fillId="0" borderId="39" xfId="9" applyFont="1" applyBorder="1" applyAlignment="1">
      <alignment horizontal="center" vertical="center" wrapText="1"/>
    </xf>
    <xf numFmtId="0" fontId="48" fillId="0" borderId="41" xfId="9" applyFont="1" applyBorder="1" applyAlignment="1">
      <alignment horizontal="center" vertical="center" wrapText="1"/>
    </xf>
    <xf numFmtId="0" fontId="48" fillId="11" borderId="6" xfId="9" applyFont="1" applyFill="1" applyBorder="1" applyAlignment="1">
      <alignment horizontal="left" vertical="center" wrapText="1"/>
    </xf>
    <xf numFmtId="0" fontId="48" fillId="11" borderId="7" xfId="9" applyFont="1" applyFill="1" applyBorder="1" applyAlignment="1">
      <alignment horizontal="left" vertical="center" wrapText="1"/>
    </xf>
    <xf numFmtId="0" fontId="53" fillId="0" borderId="30" xfId="178" applyFont="1" applyBorder="1" applyAlignment="1">
      <alignment horizontal="center" vertical="center" wrapText="1"/>
    </xf>
    <xf numFmtId="0" fontId="53" fillId="0" borderId="39" xfId="178" applyFont="1" applyBorder="1" applyAlignment="1">
      <alignment horizontal="center" vertical="center" wrapText="1"/>
    </xf>
    <xf numFmtId="0" fontId="53" fillId="0" borderId="33" xfId="178" applyFont="1" applyBorder="1" applyAlignment="1">
      <alignment horizontal="center" vertical="center" wrapText="1"/>
    </xf>
    <xf numFmtId="0" fontId="59" fillId="11" borderId="50" xfId="178" applyFont="1" applyFill="1" applyBorder="1" applyAlignment="1">
      <alignment horizontal="left" vertical="center" wrapText="1"/>
    </xf>
    <xf numFmtId="0" fontId="59" fillId="11" borderId="40" xfId="178" applyFont="1" applyFill="1" applyBorder="1" applyAlignment="1">
      <alignment horizontal="left" vertical="center" wrapText="1"/>
    </xf>
    <xf numFmtId="0" fontId="59" fillId="2" borderId="44" xfId="178" applyFont="1" applyFill="1" applyBorder="1" applyAlignment="1">
      <alignment horizontal="center" vertical="center" wrapText="1"/>
    </xf>
    <xf numFmtId="0" fontId="59" fillId="2" borderId="39" xfId="178" applyFont="1" applyFill="1" applyBorder="1" applyAlignment="1">
      <alignment horizontal="center" vertical="center" wrapText="1"/>
    </xf>
    <xf numFmtId="0" fontId="59" fillId="2" borderId="41" xfId="178" applyFont="1" applyFill="1" applyBorder="1" applyAlignment="1">
      <alignment horizontal="center" vertical="center" wrapText="1"/>
    </xf>
    <xf numFmtId="0" fontId="59" fillId="11" borderId="34" xfId="178" applyFont="1" applyFill="1" applyBorder="1" applyAlignment="1">
      <alignment horizontal="left" vertical="center" wrapText="1"/>
    </xf>
    <xf numFmtId="0" fontId="59" fillId="11" borderId="29" xfId="178" quotePrefix="1" applyFont="1" applyFill="1" applyBorder="1" applyAlignment="1">
      <alignment horizontal="left" vertical="center" wrapText="1"/>
    </xf>
    <xf numFmtId="0" fontId="59" fillId="11" borderId="42" xfId="178" applyFont="1" applyFill="1" applyBorder="1" applyAlignment="1">
      <alignment horizontal="left" vertical="center" wrapText="1"/>
    </xf>
    <xf numFmtId="0" fontId="59" fillId="11" borderId="21" xfId="178" applyFont="1" applyFill="1" applyBorder="1" applyAlignment="1">
      <alignment horizontal="left" vertical="center" wrapText="1"/>
    </xf>
    <xf numFmtId="0" fontId="54" fillId="0" borderId="44" xfId="178" applyFont="1" applyBorder="1" applyAlignment="1">
      <alignment horizontal="center" vertical="center" wrapText="1"/>
    </xf>
    <xf numFmtId="0" fontId="54" fillId="0" borderId="41" xfId="178" applyFont="1" applyBorder="1" applyAlignment="1">
      <alignment horizontal="center" vertical="center" wrapText="1"/>
    </xf>
    <xf numFmtId="0" fontId="59" fillId="11" borderId="24" xfId="178" applyFont="1" applyFill="1" applyBorder="1" applyAlignment="1">
      <alignment horizontal="left" vertical="center" wrapText="1"/>
    </xf>
    <xf numFmtId="0" fontId="59" fillId="11" borderId="62" xfId="178" quotePrefix="1" applyFont="1" applyFill="1" applyBorder="1" applyAlignment="1">
      <alignment horizontal="left" vertical="center" wrapText="1"/>
    </xf>
    <xf numFmtId="0" fontId="15" fillId="0" borderId="44" xfId="178" quotePrefix="1" applyFont="1" applyBorder="1" applyAlignment="1">
      <alignment horizontal="center" vertical="center" wrapText="1"/>
    </xf>
    <xf numFmtId="0" fontId="15" fillId="0" borderId="41" xfId="178" quotePrefix="1" applyFont="1" applyBorder="1" applyAlignment="1">
      <alignment horizontal="center" vertical="center" wrapText="1"/>
    </xf>
    <xf numFmtId="0" fontId="72" fillId="11" borderId="0" xfId="9" applyFont="1" applyFill="1" applyAlignment="1">
      <alignment horizontal="left" vertical="center" wrapText="1"/>
    </xf>
    <xf numFmtId="0" fontId="72" fillId="11" borderId="21" xfId="9" applyFont="1" applyFill="1" applyBorder="1" applyAlignment="1">
      <alignment horizontal="left" vertical="center" wrapText="1"/>
    </xf>
    <xf numFmtId="0" fontId="60" fillId="0" borderId="44" xfId="9" applyFont="1" applyBorder="1" applyAlignment="1">
      <alignment horizontal="center" vertical="center" wrapText="1"/>
    </xf>
    <xf numFmtId="0" fontId="60" fillId="0" borderId="41" xfId="9" applyFont="1" applyBorder="1" applyAlignment="1">
      <alignment horizontal="center" vertical="center" wrapText="1"/>
    </xf>
    <xf numFmtId="0" fontId="72" fillId="11" borderId="29" xfId="9" applyFont="1" applyFill="1" applyBorder="1" applyAlignment="1">
      <alignment horizontal="left" vertical="center" wrapText="1"/>
    </xf>
    <xf numFmtId="0" fontId="72" fillId="11" borderId="53" xfId="9" applyFont="1" applyFill="1" applyBorder="1" applyAlignment="1">
      <alignment horizontal="left" vertical="center" wrapText="1"/>
    </xf>
    <xf numFmtId="0" fontId="15" fillId="0" borderId="39" xfId="178" quotePrefix="1" applyFont="1" applyBorder="1" applyAlignment="1">
      <alignment horizontal="center" vertical="center" wrapText="1"/>
    </xf>
    <xf numFmtId="0" fontId="15" fillId="0" borderId="33" xfId="178" quotePrefix="1" applyFont="1" applyBorder="1" applyAlignment="1">
      <alignment horizontal="center" vertical="center" wrapText="1"/>
    </xf>
    <xf numFmtId="0" fontId="15" fillId="0" borderId="30" xfId="178" quotePrefix="1" applyFont="1" applyBorder="1" applyAlignment="1">
      <alignment horizontal="center" vertical="center" wrapText="1"/>
    </xf>
    <xf numFmtId="0" fontId="48" fillId="11" borderId="47" xfId="178" applyFont="1" applyFill="1" applyBorder="1" applyAlignment="1">
      <alignment horizontal="left" vertical="center" wrapText="1"/>
    </xf>
    <xf numFmtId="0" fontId="48" fillId="11" borderId="22" xfId="178" quotePrefix="1" applyFont="1" applyFill="1" applyBorder="1" applyAlignment="1">
      <alignment horizontal="left" vertical="center" wrapText="1"/>
    </xf>
    <xf numFmtId="0" fontId="48" fillId="11" borderId="50" xfId="178" applyFont="1" applyFill="1" applyBorder="1" applyAlignment="1">
      <alignment horizontal="left" vertical="center" wrapText="1"/>
    </xf>
    <xf numFmtId="0" fontId="48" fillId="11" borderId="40" xfId="178" applyFont="1" applyFill="1" applyBorder="1" applyAlignment="1">
      <alignment horizontal="left" vertical="center" wrapText="1"/>
    </xf>
    <xf numFmtId="0" fontId="48" fillId="11" borderId="55" xfId="178" applyFont="1" applyFill="1" applyBorder="1" applyAlignment="1">
      <alignment horizontal="left" vertical="center"/>
    </xf>
    <xf numFmtId="0" fontId="48" fillId="11" borderId="53" xfId="178" applyFont="1" applyFill="1" applyBorder="1" applyAlignment="1">
      <alignment horizontal="left" vertical="center"/>
    </xf>
    <xf numFmtId="0" fontId="48" fillId="11" borderId="40" xfId="178" quotePrefix="1" applyFont="1" applyFill="1" applyBorder="1" applyAlignment="1">
      <alignment horizontal="left" vertical="center" wrapText="1"/>
    </xf>
    <xf numFmtId="49" fontId="15" fillId="0" borderId="44" xfId="178" quotePrefix="1" applyNumberFormat="1" applyFont="1" applyBorder="1" applyAlignment="1">
      <alignment horizontal="center" vertical="center" wrapText="1"/>
    </xf>
    <xf numFmtId="49" fontId="15" fillId="0" borderId="41" xfId="178" quotePrefix="1" applyNumberFormat="1" applyFont="1" applyBorder="1" applyAlignment="1">
      <alignment horizontal="center" vertical="center" wrapText="1"/>
    </xf>
    <xf numFmtId="0" fontId="59" fillId="11" borderId="21" xfId="178" quotePrefix="1" applyFont="1" applyFill="1" applyBorder="1" applyAlignment="1">
      <alignment horizontal="left" vertical="center" wrapText="1"/>
    </xf>
    <xf numFmtId="0" fontId="59" fillId="11" borderId="55" xfId="178" applyFont="1" applyFill="1" applyBorder="1" applyAlignment="1">
      <alignment horizontal="left" vertical="center" wrapText="1"/>
    </xf>
    <xf numFmtId="0" fontId="59" fillId="11" borderId="53" xfId="178" quotePrefix="1" applyFont="1" applyFill="1" applyBorder="1" applyAlignment="1">
      <alignment horizontal="left" vertical="center" wrapText="1"/>
    </xf>
    <xf numFmtId="0" fontId="59" fillId="11" borderId="40" xfId="178" quotePrefix="1" applyFont="1" applyFill="1" applyBorder="1" applyAlignment="1">
      <alignment horizontal="left" vertical="center" wrapText="1"/>
    </xf>
    <xf numFmtId="0" fontId="59" fillId="0" borderId="39" xfId="178" applyFont="1" applyBorder="1" applyAlignment="1">
      <alignment horizontal="center" vertical="center" wrapText="1"/>
    </xf>
    <xf numFmtId="0" fontId="59" fillId="11" borderId="55" xfId="178" applyFont="1" applyFill="1" applyBorder="1" applyAlignment="1">
      <alignment horizontal="left" vertical="center"/>
    </xf>
    <xf numFmtId="0" fontId="59" fillId="11" borderId="53" xfId="178" applyFont="1" applyFill="1" applyBorder="1" applyAlignment="1">
      <alignment horizontal="left" vertical="center"/>
    </xf>
    <xf numFmtId="49" fontId="15" fillId="2" borderId="44" xfId="178" applyNumberFormat="1" applyFont="1" applyFill="1" applyBorder="1" applyAlignment="1">
      <alignment horizontal="center" vertical="center" wrapText="1"/>
    </xf>
    <xf numFmtId="49" fontId="15" fillId="2" borderId="41" xfId="178" applyNumberFormat="1" applyFont="1" applyFill="1" applyBorder="1" applyAlignment="1">
      <alignment horizontal="center" vertical="center" wrapText="1"/>
    </xf>
    <xf numFmtId="0" fontId="48" fillId="11" borderId="55" xfId="178" applyFont="1" applyFill="1" applyBorder="1" applyAlignment="1">
      <alignment horizontal="left" vertical="center" wrapText="1"/>
    </xf>
    <xf numFmtId="0" fontId="48" fillId="11" borderId="53" xfId="178" quotePrefix="1" applyFont="1" applyFill="1" applyBorder="1" applyAlignment="1">
      <alignment horizontal="left" vertical="center" wrapText="1"/>
    </xf>
    <xf numFmtId="0" fontId="59" fillId="11" borderId="61" xfId="178" quotePrefix="1" applyFont="1" applyFill="1" applyBorder="1" applyAlignment="1">
      <alignment horizontal="left" vertical="center" wrapText="1"/>
    </xf>
    <xf numFmtId="0" fontId="52" fillId="0" borderId="39" xfId="178" applyFont="1" applyBorder="1" applyAlignment="1">
      <alignment horizontal="center" vertical="center" wrapText="1"/>
    </xf>
    <xf numFmtId="0" fontId="10" fillId="0" borderId="39" xfId="178" applyFont="1" applyBorder="1" applyAlignment="1">
      <alignment horizontal="left" vertical="center" wrapText="1"/>
    </xf>
    <xf numFmtId="0" fontId="48" fillId="11" borderId="42" xfId="178" applyFont="1" applyFill="1" applyBorder="1" applyAlignment="1">
      <alignment horizontal="left" vertical="center" wrapText="1"/>
    </xf>
    <xf numFmtId="0" fontId="48" fillId="11" borderId="21" xfId="178" quotePrefix="1" applyFont="1" applyFill="1" applyBorder="1" applyAlignment="1">
      <alignment horizontal="left" vertical="center" wrapText="1"/>
    </xf>
    <xf numFmtId="0" fontId="48" fillId="11" borderId="52" xfId="178" applyFont="1" applyFill="1" applyBorder="1" applyAlignment="1">
      <alignment horizontal="left" vertical="center" wrapText="1"/>
    </xf>
    <xf numFmtId="0" fontId="48" fillId="11" borderId="0" xfId="178" quotePrefix="1" applyFont="1" applyFill="1" applyAlignment="1">
      <alignment horizontal="left" vertical="center" wrapText="1"/>
    </xf>
    <xf numFmtId="0" fontId="67" fillId="2" borderId="30" xfId="178" applyFont="1" applyFill="1" applyBorder="1" applyAlignment="1">
      <alignment horizontal="center" vertical="center" wrapText="1"/>
    </xf>
    <xf numFmtId="0" fontId="67" fillId="2" borderId="39" xfId="178" applyFont="1" applyFill="1" applyBorder="1" applyAlignment="1">
      <alignment horizontal="center" vertical="center" wrapText="1"/>
    </xf>
    <xf numFmtId="0" fontId="15" fillId="2" borderId="45" xfId="178" applyFont="1" applyFill="1" applyBorder="1" applyAlignment="1">
      <alignment horizontal="left" vertical="center" wrapText="1"/>
    </xf>
    <xf numFmtId="0" fontId="15" fillId="2" borderId="21" xfId="178" applyFont="1" applyFill="1" applyBorder="1" applyAlignment="1">
      <alignment horizontal="left" vertical="center" wrapText="1"/>
    </xf>
    <xf numFmtId="0" fontId="27" fillId="2" borderId="39" xfId="178" applyFont="1" applyFill="1" applyBorder="1" applyAlignment="1">
      <alignment horizontal="center" vertical="center" wrapText="1"/>
    </xf>
    <xf numFmtId="0" fontId="27" fillId="2" borderId="33" xfId="178" applyFont="1" applyFill="1" applyBorder="1" applyAlignment="1">
      <alignment horizontal="center" vertical="center" wrapText="1"/>
    </xf>
    <xf numFmtId="0" fontId="48" fillId="2" borderId="44" xfId="178" applyFont="1" applyFill="1" applyBorder="1" applyAlignment="1">
      <alignment horizontal="center" vertical="center" wrapText="1"/>
    </xf>
    <xf numFmtId="0" fontId="48" fillId="2" borderId="39" xfId="178" applyFont="1" applyFill="1" applyBorder="1" applyAlignment="1">
      <alignment horizontal="center" vertical="center" wrapText="1"/>
    </xf>
    <xf numFmtId="0" fontId="48" fillId="2" borderId="41" xfId="178" applyFont="1" applyFill="1" applyBorder="1" applyAlignment="1">
      <alignment horizontal="center" vertical="center" wrapText="1"/>
    </xf>
    <xf numFmtId="0" fontId="48" fillId="11" borderId="53" xfId="178" applyFont="1" applyFill="1" applyBorder="1" applyAlignment="1">
      <alignment horizontal="left" vertical="center" wrapText="1"/>
    </xf>
    <xf numFmtId="0" fontId="52" fillId="11" borderId="42" xfId="178" applyFont="1" applyFill="1" applyBorder="1" applyAlignment="1">
      <alignment horizontal="left" vertical="center" wrapText="1"/>
    </xf>
    <xf numFmtId="0" fontId="52" fillId="11" borderId="21" xfId="178" quotePrefix="1" applyFont="1" applyFill="1" applyBorder="1" applyAlignment="1">
      <alignment horizontal="left" vertical="center" wrapText="1"/>
    </xf>
    <xf numFmtId="0" fontId="52" fillId="11" borderId="47" xfId="178" applyFont="1" applyFill="1" applyBorder="1" applyAlignment="1">
      <alignment horizontal="left" vertical="center" wrapText="1"/>
    </xf>
    <xf numFmtId="0" fontId="52" fillId="11" borderId="19" xfId="178" quotePrefix="1" applyFont="1" applyFill="1" applyBorder="1" applyAlignment="1">
      <alignment horizontal="left" vertical="center" wrapText="1"/>
    </xf>
    <xf numFmtId="0" fontId="15" fillId="0" borderId="30" xfId="178" applyFont="1" applyBorder="1" applyAlignment="1">
      <alignment horizontal="center" vertical="center" wrapText="1"/>
    </xf>
    <xf numFmtId="0" fontId="15" fillId="0" borderId="39" xfId="178" applyFont="1" applyBorder="1" applyAlignment="1">
      <alignment horizontal="center" vertical="center" wrapText="1"/>
    </xf>
    <xf numFmtId="0" fontId="15" fillId="0" borderId="33" xfId="178" applyFont="1" applyBorder="1" applyAlignment="1">
      <alignment horizontal="center" vertical="center" wrapText="1"/>
    </xf>
    <xf numFmtId="10" fontId="51" fillId="0" borderId="48" xfId="177" applyNumberFormat="1" applyFont="1" applyFill="1" applyBorder="1" applyAlignment="1">
      <alignment horizontal="center" vertical="center"/>
    </xf>
    <xf numFmtId="10" fontId="51" fillId="0" borderId="49" xfId="177" applyNumberFormat="1" applyFont="1" applyFill="1" applyBorder="1" applyAlignment="1">
      <alignment horizontal="center" vertical="center"/>
    </xf>
    <xf numFmtId="10" fontId="51" fillId="0" borderId="43" xfId="177" applyNumberFormat="1" applyFont="1" applyFill="1" applyBorder="1" applyAlignment="1">
      <alignment horizontal="center" vertical="center"/>
    </xf>
    <xf numFmtId="0" fontId="48" fillId="11" borderId="57" xfId="178" quotePrefix="1" applyFont="1" applyFill="1" applyBorder="1" applyAlignment="1">
      <alignment horizontal="left" vertical="center" wrapText="1"/>
    </xf>
    <xf numFmtId="0" fontId="48" fillId="11" borderId="21" xfId="178" applyFont="1" applyFill="1" applyBorder="1" applyAlignment="1">
      <alignment horizontal="left" vertical="center" wrapText="1"/>
    </xf>
    <xf numFmtId="0" fontId="64" fillId="11" borderId="34" xfId="178" applyFont="1" applyFill="1" applyBorder="1" applyAlignment="1">
      <alignment horizontal="left" vertical="center" wrapText="1"/>
    </xf>
    <xf numFmtId="0" fontId="64" fillId="11" borderId="29" xfId="178" quotePrefix="1" applyFont="1" applyFill="1" applyBorder="1" applyAlignment="1">
      <alignment horizontal="left" vertical="center" wrapText="1"/>
    </xf>
    <xf numFmtId="0" fontId="15" fillId="0" borderId="58" xfId="178" applyFont="1" applyBorder="1" applyAlignment="1">
      <alignment horizontal="left" vertical="center" wrapText="1"/>
    </xf>
    <xf numFmtId="0" fontId="15" fillId="0" borderId="42" xfId="178" applyFont="1" applyBorder="1" applyAlignment="1">
      <alignment horizontal="left" vertical="center" wrapText="1"/>
    </xf>
    <xf numFmtId="0" fontId="63" fillId="0" borderId="44" xfId="178" applyFont="1" applyBorder="1" applyAlignment="1">
      <alignment horizontal="center" vertical="center" wrapText="1"/>
    </xf>
    <xf numFmtId="0" fontId="63" fillId="0" borderId="39" xfId="178" applyFont="1" applyBorder="1" applyAlignment="1">
      <alignment horizontal="center" vertical="center" wrapText="1"/>
    </xf>
    <xf numFmtId="0" fontId="48" fillId="11" borderId="19" xfId="178" quotePrefix="1" applyFont="1" applyFill="1" applyBorder="1" applyAlignment="1">
      <alignment horizontal="left" vertical="center" wrapText="1"/>
    </xf>
    <xf numFmtId="0" fontId="47" fillId="0" borderId="44" xfId="178" applyFont="1" applyBorder="1" applyAlignment="1">
      <alignment horizontal="center" vertical="center" wrapText="1"/>
    </xf>
    <xf numFmtId="0" fontId="47" fillId="0" borderId="39" xfId="178" applyFont="1" applyBorder="1" applyAlignment="1">
      <alignment horizontal="center" vertical="center" wrapText="1"/>
    </xf>
    <xf numFmtId="0" fontId="15" fillId="0" borderId="45" xfId="178" applyFont="1" applyBorder="1" applyAlignment="1">
      <alignment horizontal="left" vertical="center" wrapText="1"/>
    </xf>
    <xf numFmtId="0" fontId="15" fillId="0" borderId="0" xfId="178" applyFont="1" applyAlignment="1">
      <alignment horizontal="left" vertical="center" wrapText="1"/>
    </xf>
    <xf numFmtId="0" fontId="55" fillId="0" borderId="30" xfId="178" applyFont="1" applyBorder="1" applyAlignment="1">
      <alignment horizontal="center" vertical="center" wrapText="1"/>
    </xf>
    <xf numFmtId="0" fontId="55" fillId="0" borderId="39" xfId="178" applyFont="1" applyBorder="1" applyAlignment="1">
      <alignment horizontal="center" vertical="center" wrapText="1"/>
    </xf>
    <xf numFmtId="0" fontId="55" fillId="0" borderId="33" xfId="178" applyFont="1" applyBorder="1" applyAlignment="1">
      <alignment horizontal="center" vertical="center" wrapText="1"/>
    </xf>
    <xf numFmtId="0" fontId="52" fillId="0" borderId="41" xfId="178" applyFont="1" applyBorder="1" applyAlignment="1">
      <alignment horizontal="center" vertical="center" wrapText="1"/>
    </xf>
    <xf numFmtId="0" fontId="59" fillId="11" borderId="6" xfId="178" applyFont="1" applyFill="1" applyBorder="1" applyAlignment="1">
      <alignment horizontal="left" vertical="center" wrapText="1"/>
    </xf>
    <xf numFmtId="0" fontId="59" fillId="11" borderId="17" xfId="178" quotePrefix="1" applyFont="1" applyFill="1" applyBorder="1" applyAlignment="1">
      <alignment horizontal="left" vertical="center" wrapText="1"/>
    </xf>
    <xf numFmtId="49" fontId="10" fillId="2" borderId="44" xfId="178" quotePrefix="1" applyNumberFormat="1" applyFont="1" applyFill="1" applyBorder="1" applyAlignment="1">
      <alignment horizontal="center" vertical="center" wrapText="1"/>
    </xf>
    <xf numFmtId="49" fontId="10" fillId="2" borderId="33" xfId="178" quotePrefix="1" applyNumberFormat="1" applyFont="1" applyFill="1" applyBorder="1" applyAlignment="1">
      <alignment horizontal="center" vertical="center" wrapText="1"/>
    </xf>
    <xf numFmtId="0" fontId="52" fillId="11" borderId="40" xfId="178" applyFont="1" applyFill="1" applyBorder="1" applyAlignment="1">
      <alignment horizontal="left" vertical="center" wrapText="1"/>
    </xf>
    <xf numFmtId="0" fontId="52" fillId="11" borderId="0" xfId="178" applyFont="1" applyFill="1" applyAlignment="1">
      <alignment horizontal="left" vertical="center" wrapText="1"/>
    </xf>
    <xf numFmtId="0" fontId="52" fillId="11" borderId="45" xfId="178" applyFont="1" applyFill="1" applyBorder="1" applyAlignment="1">
      <alignment horizontal="left" vertical="center" wrapText="1"/>
    </xf>
    <xf numFmtId="0" fontId="48" fillId="11" borderId="56" xfId="178" applyFont="1" applyFill="1" applyBorder="1" applyAlignment="1">
      <alignment horizontal="left" vertical="center" wrapText="1"/>
    </xf>
    <xf numFmtId="0" fontId="48" fillId="2" borderId="49" xfId="178" applyFont="1" applyFill="1" applyBorder="1" applyAlignment="1">
      <alignment horizontal="center" vertical="center" wrapText="1"/>
    </xf>
    <xf numFmtId="0" fontId="48" fillId="2" borderId="43" xfId="178" applyFont="1" applyFill="1" applyBorder="1" applyAlignment="1">
      <alignment horizontal="center" vertical="center" wrapText="1"/>
    </xf>
    <xf numFmtId="0" fontId="48" fillId="11" borderId="29" xfId="178" quotePrefix="1" applyFont="1" applyFill="1" applyBorder="1" applyAlignment="1">
      <alignment horizontal="left" vertical="center" wrapText="1"/>
    </xf>
    <xf numFmtId="0" fontId="48" fillId="11" borderId="0" xfId="178" applyFont="1" applyFill="1" applyAlignment="1">
      <alignment horizontal="left" vertical="center" wrapText="1"/>
    </xf>
    <xf numFmtId="0" fontId="48" fillId="2" borderId="48" xfId="178" applyFont="1" applyFill="1" applyBorder="1" applyAlignment="1">
      <alignment horizontal="center" vertical="center" wrapText="1"/>
    </xf>
    <xf numFmtId="0" fontId="60" fillId="2" borderId="39" xfId="178" applyFont="1" applyFill="1" applyBorder="1" applyAlignment="1">
      <alignment horizontal="center" vertical="center" wrapText="1"/>
    </xf>
    <xf numFmtId="0" fontId="37" fillId="0" borderId="44" xfId="178" applyFont="1" applyBorder="1" applyAlignment="1">
      <alignment horizontal="left" vertical="center" wrapText="1"/>
    </xf>
    <xf numFmtId="0" fontId="37" fillId="0" borderId="39" xfId="178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56" fillId="0" borderId="44" xfId="178" applyFont="1" applyBorder="1" applyAlignment="1">
      <alignment horizontal="left" vertical="center" wrapText="1"/>
    </xf>
    <xf numFmtId="0" fontId="56" fillId="0" borderId="41" xfId="178" applyFont="1" applyBorder="1" applyAlignment="1">
      <alignment horizontal="left" vertical="center" wrapText="1"/>
    </xf>
    <xf numFmtId="0" fontId="48" fillId="11" borderId="19" xfId="178" applyFont="1" applyFill="1" applyBorder="1" applyAlignment="1">
      <alignment horizontal="left" vertical="center" wrapText="1"/>
    </xf>
    <xf numFmtId="0" fontId="48" fillId="11" borderId="61" xfId="178" quotePrefix="1" applyFont="1" applyFill="1" applyBorder="1" applyAlignment="1">
      <alignment horizontal="left" vertical="center" wrapText="1"/>
    </xf>
    <xf numFmtId="0" fontId="48" fillId="11" borderId="22" xfId="178" applyFont="1" applyFill="1" applyBorder="1" applyAlignment="1">
      <alignment horizontal="left" vertical="center" wrapText="1"/>
    </xf>
    <xf numFmtId="0" fontId="48" fillId="2" borderId="33" xfId="178" applyFont="1" applyFill="1" applyBorder="1" applyAlignment="1">
      <alignment horizontal="center" vertical="center" wrapText="1"/>
    </xf>
    <xf numFmtId="0" fontId="48" fillId="11" borderId="59" xfId="178" applyFont="1" applyFill="1" applyBorder="1" applyAlignment="1">
      <alignment horizontal="left" vertical="center" wrapText="1"/>
    </xf>
    <xf numFmtId="0" fontId="48" fillId="11" borderId="60" xfId="178" quotePrefix="1" applyFont="1" applyFill="1" applyBorder="1" applyAlignment="1">
      <alignment horizontal="left" vertical="center" wrapText="1"/>
    </xf>
    <xf numFmtId="0" fontId="15" fillId="2" borderId="44" xfId="178" quotePrefix="1" applyFont="1" applyFill="1" applyBorder="1" applyAlignment="1">
      <alignment horizontal="center" vertical="center" wrapText="1"/>
    </xf>
    <xf numFmtId="0" fontId="15" fillId="2" borderId="33" xfId="178" quotePrefix="1" applyFont="1" applyFill="1" applyBorder="1" applyAlignment="1">
      <alignment horizontal="center" vertical="center" wrapText="1"/>
    </xf>
    <xf numFmtId="0" fontId="52" fillId="11" borderId="19" xfId="178" applyFont="1" applyFill="1" applyBorder="1" applyAlignment="1">
      <alignment horizontal="left" vertical="center" wrapText="1"/>
    </xf>
    <xf numFmtId="0" fontId="52" fillId="11" borderId="55" xfId="178" applyFont="1" applyFill="1" applyBorder="1" applyAlignment="1">
      <alignment horizontal="left" vertical="center" wrapText="1"/>
    </xf>
    <xf numFmtId="0" fontId="52" fillId="11" borderId="57" xfId="178" quotePrefix="1" applyFont="1" applyFill="1" applyBorder="1" applyAlignment="1">
      <alignment horizontal="left" vertical="center" wrapText="1"/>
    </xf>
    <xf numFmtId="10" fontId="13" fillId="0" borderId="48" xfId="177" applyNumberFormat="1" applyFont="1" applyFill="1" applyBorder="1" applyAlignment="1">
      <alignment horizontal="left" vertical="center"/>
    </xf>
    <xf numFmtId="10" fontId="13" fillId="0" borderId="43" xfId="177" applyNumberFormat="1" applyFont="1" applyFill="1" applyBorder="1" applyAlignment="1">
      <alignment horizontal="left" vertical="center"/>
    </xf>
    <xf numFmtId="0" fontId="27" fillId="0" borderId="30" xfId="178" quotePrefix="1" applyFont="1" applyBorder="1" applyAlignment="1">
      <alignment horizontal="center" vertical="center" wrapText="1"/>
    </xf>
    <xf numFmtId="0" fontId="27" fillId="0" borderId="39" xfId="178" quotePrefix="1" applyFont="1" applyBorder="1" applyAlignment="1">
      <alignment horizontal="center" vertical="center" wrapText="1"/>
    </xf>
    <xf numFmtId="0" fontId="27" fillId="0" borderId="33" xfId="178" quotePrefix="1" applyFont="1" applyBorder="1" applyAlignment="1">
      <alignment horizontal="center" vertical="center" wrapText="1"/>
    </xf>
    <xf numFmtId="49" fontId="54" fillId="0" borderId="44" xfId="178" applyNumberFormat="1" applyFont="1" applyBorder="1" applyAlignment="1">
      <alignment horizontal="center" vertical="center" wrapText="1"/>
    </xf>
    <xf numFmtId="49" fontId="54" fillId="0" borderId="41" xfId="178" applyNumberFormat="1" applyFont="1" applyBorder="1" applyAlignment="1">
      <alignment horizontal="center" vertical="center" wrapText="1"/>
    </xf>
    <xf numFmtId="49" fontId="48" fillId="11" borderId="55" xfId="178" applyNumberFormat="1" applyFont="1" applyFill="1" applyBorder="1" applyAlignment="1">
      <alignment horizontal="left" vertical="center" wrapText="1"/>
    </xf>
    <xf numFmtId="49" fontId="48" fillId="11" borderId="57" xfId="178" applyNumberFormat="1" applyFont="1" applyFill="1" applyBorder="1" applyAlignment="1">
      <alignment horizontal="left" vertical="center" wrapText="1"/>
    </xf>
    <xf numFmtId="0" fontId="48" fillId="0" borderId="52" xfId="178" applyFont="1" applyBorder="1" applyAlignment="1">
      <alignment horizontal="center" vertical="center" wrapText="1"/>
    </xf>
    <xf numFmtId="0" fontId="48" fillId="11" borderId="29" xfId="178" applyFont="1" applyFill="1" applyBorder="1" applyAlignment="1">
      <alignment horizontal="left" vertical="center" wrapText="1"/>
    </xf>
    <xf numFmtId="49" fontId="48" fillId="11" borderId="56" xfId="178" applyNumberFormat="1" applyFont="1" applyFill="1" applyBorder="1" applyAlignment="1">
      <alignment horizontal="left" vertical="center" wrapText="1"/>
    </xf>
    <xf numFmtId="9" fontId="40" fillId="9" borderId="30" xfId="177" applyFont="1" applyFill="1" applyBorder="1" applyAlignment="1">
      <alignment horizontal="center" vertical="center" wrapText="1"/>
    </xf>
    <xf numFmtId="9" fontId="40" fillId="9" borderId="33" xfId="177" applyFont="1" applyFill="1" applyBorder="1" applyAlignment="1">
      <alignment horizontal="center" vertical="center" wrapText="1"/>
    </xf>
    <xf numFmtId="3" fontId="39" fillId="9" borderId="30" xfId="178" applyNumberFormat="1" applyFont="1" applyFill="1" applyBorder="1" applyAlignment="1">
      <alignment horizontal="center" vertical="center" wrapText="1"/>
    </xf>
    <xf numFmtId="3" fontId="39" fillId="9" borderId="33" xfId="178" applyNumberFormat="1" applyFont="1" applyFill="1" applyBorder="1" applyAlignment="1">
      <alignment horizontal="center" vertical="center" wrapText="1"/>
    </xf>
    <xf numFmtId="3" fontId="40" fillId="9" borderId="32" xfId="178" applyNumberFormat="1" applyFont="1" applyFill="1" applyBorder="1" applyAlignment="1">
      <alignment horizontal="center" vertical="center" wrapText="1"/>
    </xf>
    <xf numFmtId="3" fontId="40" fillId="9" borderId="35" xfId="178" applyNumberFormat="1" applyFont="1" applyFill="1" applyBorder="1" applyAlignment="1">
      <alignment horizontal="center" vertical="center" wrapText="1"/>
    </xf>
    <xf numFmtId="0" fontId="15" fillId="2" borderId="0" xfId="178" applyFont="1" applyFill="1" applyAlignment="1">
      <alignment horizontal="left" vertical="center" wrapText="1"/>
    </xf>
    <xf numFmtId="0" fontId="32" fillId="0" borderId="0" xfId="178" applyFont="1" applyAlignment="1">
      <alignment horizontal="center" vertical="center" wrapText="1"/>
    </xf>
    <xf numFmtId="0" fontId="39" fillId="9" borderId="3" xfId="178" applyFont="1" applyFill="1" applyBorder="1" applyAlignment="1">
      <alignment horizontal="center" vertical="center" wrapText="1"/>
    </xf>
    <xf numFmtId="0" fontId="39" fillId="9" borderId="30" xfId="178" applyFont="1" applyFill="1" applyBorder="1" applyAlignment="1">
      <alignment horizontal="center" vertical="center" wrapText="1"/>
    </xf>
    <xf numFmtId="0" fontId="39" fillId="9" borderId="33" xfId="178" applyFont="1" applyFill="1" applyBorder="1" applyAlignment="1">
      <alignment horizontal="center" vertical="center" wrapText="1"/>
    </xf>
    <xf numFmtId="0" fontId="39" fillId="9" borderId="31" xfId="178" applyFont="1" applyFill="1" applyBorder="1" applyAlignment="1">
      <alignment horizontal="center" vertical="center" wrapText="1"/>
    </xf>
    <xf numFmtId="0" fontId="39" fillId="9" borderId="34" xfId="178" applyFont="1" applyFill="1" applyBorder="1" applyAlignment="1">
      <alignment horizontal="center" vertical="center" wrapText="1"/>
    </xf>
    <xf numFmtId="3" fontId="27" fillId="9" borderId="30" xfId="178" applyNumberFormat="1" applyFont="1" applyFill="1" applyBorder="1" applyAlignment="1">
      <alignment horizontal="center" vertical="center" wrapText="1"/>
    </xf>
    <xf numFmtId="3" fontId="27" fillId="9" borderId="33" xfId="178" applyNumberFormat="1" applyFont="1" applyFill="1" applyBorder="1" applyAlignment="1">
      <alignment horizontal="center" vertical="center" wrapText="1"/>
    </xf>
    <xf numFmtId="10" fontId="27" fillId="9" borderId="30" xfId="178" applyNumberFormat="1" applyFont="1" applyFill="1" applyBorder="1" applyAlignment="1">
      <alignment horizontal="center" vertical="center" wrapText="1"/>
    </xf>
    <xf numFmtId="10" fontId="27" fillId="9" borderId="33" xfId="178" applyNumberFormat="1" applyFont="1" applyFill="1" applyBorder="1" applyAlignment="1">
      <alignment horizontal="center" vertical="center" wrapText="1"/>
    </xf>
    <xf numFmtId="0" fontId="47" fillId="20" borderId="131" xfId="182" applyFont="1" applyFill="1" applyBorder="1" applyAlignment="1">
      <alignment horizontal="left" vertical="center"/>
    </xf>
    <xf numFmtId="0" fontId="47" fillId="20" borderId="473" xfId="181" applyNumberFormat="1" applyFont="1" applyFill="1" applyBorder="1" applyAlignment="1" applyProtection="1">
      <alignment horizontal="left" vertical="center"/>
      <protection locked="0"/>
    </xf>
    <xf numFmtId="0" fontId="15" fillId="0" borderId="1064" xfId="182" applyFont="1" applyBorder="1" applyAlignment="1">
      <alignment horizontal="left" vertical="center"/>
    </xf>
    <xf numFmtId="0" fontId="15" fillId="0" borderId="1066" xfId="181" applyNumberFormat="1" applyFont="1" applyFill="1" applyBorder="1" applyAlignment="1" applyProtection="1">
      <alignment horizontal="left" vertical="center"/>
      <protection locked="0"/>
    </xf>
    <xf numFmtId="0" fontId="15" fillId="0" borderId="1208" xfId="181" applyNumberFormat="1" applyFont="1" applyFill="1" applyBorder="1" applyAlignment="1" applyProtection="1">
      <alignment horizontal="left" vertical="center"/>
      <protection locked="0"/>
    </xf>
    <xf numFmtId="0" fontId="48" fillId="0" borderId="1201" xfId="182" applyFont="1" applyBorder="1" applyAlignment="1">
      <alignment horizontal="left" vertical="center" wrapText="1"/>
    </xf>
    <xf numFmtId="0" fontId="48" fillId="0" borderId="1035" xfId="181" applyNumberFormat="1" applyFont="1" applyFill="1" applyBorder="1" applyAlignment="1" applyProtection="1">
      <alignment horizontal="left" vertical="center"/>
      <protection locked="0"/>
    </xf>
    <xf numFmtId="0" fontId="48" fillId="0" borderId="1203" xfId="181" applyNumberFormat="1" applyFont="1" applyFill="1" applyBorder="1" applyAlignment="1" applyProtection="1">
      <alignment horizontal="left" vertical="center"/>
      <protection locked="0"/>
    </xf>
    <xf numFmtId="0" fontId="15" fillId="0" borderId="1201" xfId="182" applyFont="1" applyBorder="1" applyAlignment="1">
      <alignment horizontal="left" vertical="center"/>
    </xf>
    <xf numFmtId="0" fontId="15" fillId="0" borderId="1035" xfId="181" applyNumberFormat="1" applyFont="1" applyFill="1" applyBorder="1" applyAlignment="1" applyProtection="1">
      <alignment horizontal="left" vertical="center"/>
      <protection locked="0"/>
    </xf>
    <xf numFmtId="0" fontId="15" fillId="0" borderId="1203" xfId="181" applyNumberFormat="1" applyFont="1" applyFill="1" applyBorder="1" applyAlignment="1" applyProtection="1">
      <alignment horizontal="left" vertical="center"/>
      <protection locked="0"/>
    </xf>
    <xf numFmtId="0" fontId="15" fillId="0" borderId="1018" xfId="182" applyFont="1" applyBorder="1" applyAlignment="1">
      <alignment horizontal="left" vertical="center"/>
    </xf>
    <xf numFmtId="0" fontId="15" fillId="0" borderId="1031" xfId="181" applyNumberFormat="1" applyFont="1" applyFill="1" applyBorder="1" applyAlignment="1" applyProtection="1">
      <alignment horizontal="left" vertical="center"/>
      <protection locked="0"/>
    </xf>
    <xf numFmtId="0" fontId="15" fillId="0" borderId="1209" xfId="181" applyNumberFormat="1" applyFont="1" applyFill="1" applyBorder="1" applyAlignment="1" applyProtection="1">
      <alignment horizontal="left" vertical="center"/>
      <protection locked="0"/>
    </xf>
    <xf numFmtId="0" fontId="48" fillId="0" borderId="0" xfId="182" applyFont="1" applyAlignment="1">
      <alignment horizontal="left" vertical="center" wrapText="1"/>
    </xf>
    <xf numFmtId="0" fontId="48" fillId="0" borderId="0" xfId="181" applyNumberFormat="1" applyFont="1" applyFill="1" applyBorder="1" applyAlignment="1" applyProtection="1">
      <alignment horizontal="left" vertical="center"/>
      <protection locked="0"/>
    </xf>
    <xf numFmtId="0" fontId="15" fillId="0" borderId="1201" xfId="182" applyFont="1" applyBorder="1" applyAlignment="1">
      <alignment horizontal="left" vertical="center" wrapText="1"/>
    </xf>
    <xf numFmtId="0" fontId="15" fillId="0" borderId="1205" xfId="182" applyFont="1" applyBorder="1" applyAlignment="1">
      <alignment horizontal="left" vertical="center"/>
    </xf>
    <xf numFmtId="0" fontId="15" fillId="0" borderId="45" xfId="181" applyNumberFormat="1" applyFont="1" applyFill="1" applyBorder="1" applyAlignment="1" applyProtection="1">
      <alignment horizontal="left" vertical="center"/>
      <protection locked="0"/>
    </xf>
    <xf numFmtId="49" fontId="27" fillId="17" borderId="388" xfId="181" applyNumberFormat="1" applyFont="1" applyFill="1" applyBorder="1" applyAlignment="1" applyProtection="1">
      <alignment horizontal="center" vertical="center" wrapText="1"/>
      <protection locked="0"/>
    </xf>
    <xf numFmtId="49" fontId="27" fillId="17" borderId="389" xfId="181" applyNumberFormat="1" applyFont="1" applyFill="1" applyBorder="1" applyAlignment="1" applyProtection="1">
      <alignment horizontal="center" vertical="center" wrapText="1"/>
      <protection locked="0"/>
    </xf>
    <xf numFmtId="49" fontId="27" fillId="17" borderId="715" xfId="181" applyNumberFormat="1" applyFont="1" applyFill="1" applyBorder="1" applyAlignment="1" applyProtection="1">
      <alignment horizontal="center" vertical="center" wrapText="1"/>
      <protection locked="0"/>
    </xf>
    <xf numFmtId="49" fontId="27" fillId="16" borderId="131" xfId="181" applyNumberFormat="1" applyFont="1" applyFill="1" applyBorder="1" applyAlignment="1" applyProtection="1">
      <alignment horizontal="center" vertical="center" wrapText="1"/>
      <protection locked="0"/>
    </xf>
    <xf numFmtId="49" fontId="27" fillId="16" borderId="473" xfId="181" applyNumberFormat="1" applyFont="1" applyFill="1" applyBorder="1" applyAlignment="1" applyProtection="1">
      <alignment horizontal="center" vertical="center" wrapText="1"/>
      <protection locked="0"/>
    </xf>
    <xf numFmtId="49" fontId="27" fillId="17" borderId="388" xfId="181" applyNumberFormat="1" applyFont="1" applyFill="1" applyBorder="1" applyAlignment="1" applyProtection="1">
      <alignment horizontal="center" vertical="top" wrapText="1"/>
      <protection locked="0"/>
    </xf>
    <xf numFmtId="49" fontId="27" fillId="17" borderId="389" xfId="181" applyNumberFormat="1" applyFont="1" applyFill="1" applyBorder="1" applyAlignment="1" applyProtection="1">
      <alignment horizontal="center" vertical="top" wrapText="1"/>
      <protection locked="0"/>
    </xf>
    <xf numFmtId="49" fontId="27" fillId="17" borderId="715" xfId="181" applyNumberFormat="1" applyFont="1" applyFill="1" applyBorder="1" applyAlignment="1" applyProtection="1">
      <alignment horizontal="center" vertical="top" wrapText="1"/>
      <protection locked="0"/>
    </xf>
    <xf numFmtId="49" fontId="47" fillId="20" borderId="388" xfId="182" applyNumberFormat="1" applyFont="1" applyFill="1" applyBorder="1" applyAlignment="1">
      <alignment horizontal="left" vertical="center"/>
    </xf>
    <xf numFmtId="49" fontId="47" fillId="20" borderId="389" xfId="182" applyNumberFormat="1" applyFont="1" applyFill="1" applyBorder="1" applyAlignment="1">
      <alignment horizontal="left" vertical="center"/>
    </xf>
    <xf numFmtId="49" fontId="47" fillId="20" borderId="715" xfId="182" applyNumberFormat="1" applyFont="1" applyFill="1" applyBorder="1" applyAlignment="1">
      <alignment horizontal="left" vertical="center"/>
    </xf>
    <xf numFmtId="0" fontId="15" fillId="0" borderId="482" xfId="182" applyFont="1" applyBorder="1" applyAlignment="1">
      <alignment horizontal="left" vertical="center"/>
    </xf>
    <xf numFmtId="0" fontId="15" fillId="0" borderId="21" xfId="181" applyNumberFormat="1" applyFont="1" applyFill="1" applyBorder="1" applyAlignment="1" applyProtection="1">
      <alignment horizontal="left" vertical="center"/>
      <protection locked="0"/>
    </xf>
    <xf numFmtId="0" fontId="48" fillId="0" borderId="1201" xfId="182" applyFont="1" applyBorder="1" applyAlignment="1">
      <alignment horizontal="left" vertical="center"/>
    </xf>
    <xf numFmtId="49" fontId="15" fillId="16" borderId="1201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1035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39" xfId="181" applyNumberFormat="1" applyFont="1" applyFill="1" applyBorder="1" applyAlignment="1" applyProtection="1">
      <alignment horizontal="center" vertical="center" wrapText="1"/>
      <protection locked="0"/>
    </xf>
    <xf numFmtId="49" fontId="27" fillId="0" borderId="76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1032" xfId="181" applyNumberFormat="1" applyFont="1" applyFill="1" applyBorder="1" applyAlignment="1" applyProtection="1">
      <alignment horizontal="left" vertical="center" wrapText="1"/>
      <protection locked="0"/>
    </xf>
    <xf numFmtId="49" fontId="27" fillId="0" borderId="555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1182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1032" xfId="181" applyNumberFormat="1" applyFont="1" applyFill="1" applyBorder="1" applyAlignment="1" applyProtection="1">
      <alignment horizontal="left" vertical="center" wrapText="1"/>
      <protection locked="0"/>
    </xf>
    <xf numFmtId="0" fontId="48" fillId="0" borderId="1057" xfId="181" applyNumberFormat="1" applyFont="1" applyFill="1" applyBorder="1" applyAlignment="1" applyProtection="1">
      <alignment horizontal="left" vertical="center"/>
      <protection locked="0"/>
    </xf>
    <xf numFmtId="0" fontId="48" fillId="0" borderId="1192" xfId="181" applyNumberFormat="1" applyFont="1" applyFill="1" applyBorder="1" applyAlignment="1" applyProtection="1">
      <alignment horizontal="left" vertical="center"/>
      <protection locked="0"/>
    </xf>
    <xf numFmtId="49" fontId="48" fillId="16" borderId="1057" xfId="181" applyNumberFormat="1" applyFont="1" applyFill="1" applyBorder="1" applyAlignment="1" applyProtection="1">
      <alignment horizontal="left" vertical="center" wrapText="1"/>
      <protection locked="0"/>
    </xf>
    <xf numFmtId="49" fontId="48" fillId="16" borderId="1192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571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572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1193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1194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196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1197" xfId="181" applyNumberFormat="1" applyFont="1" applyFill="1" applyBorder="1" applyAlignment="1" applyProtection="1">
      <alignment horizontal="left" vertical="center" wrapText="1"/>
      <protection locked="0"/>
    </xf>
    <xf numFmtId="49" fontId="27" fillId="0" borderId="1045" xfId="181" applyNumberFormat="1" applyFont="1" applyFill="1" applyBorder="1" applyAlignment="1" applyProtection="1">
      <alignment horizontal="left" vertical="center" wrapText="1"/>
      <protection locked="0"/>
    </xf>
    <xf numFmtId="49" fontId="27" fillId="0" borderId="1199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1090" xfId="181" applyNumberFormat="1" applyFont="1" applyFill="1" applyBorder="1" applyAlignment="1" applyProtection="1">
      <alignment horizontal="left" vertical="center" wrapText="1"/>
      <protection locked="0"/>
    </xf>
    <xf numFmtId="49" fontId="44" fillId="0" borderId="76" xfId="181" applyNumberFormat="1" applyFont="1" applyFill="1" applyBorder="1" applyAlignment="1" applyProtection="1">
      <alignment horizontal="left" vertical="center" wrapText="1"/>
      <protection locked="0"/>
    </xf>
    <xf numFmtId="49" fontId="44" fillId="0" borderId="555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1182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1090" xfId="181" applyNumberFormat="1" applyFont="1" applyFill="1" applyBorder="1" applyAlignment="1" applyProtection="1">
      <alignment horizontal="left" vertical="center" wrapText="1"/>
      <protection locked="0"/>
    </xf>
    <xf numFmtId="49" fontId="27" fillId="0" borderId="1190" xfId="181" applyNumberFormat="1" applyFont="1" applyFill="1" applyBorder="1" applyAlignment="1" applyProtection="1">
      <alignment horizontal="left" vertical="center" wrapText="1"/>
      <protection locked="0"/>
    </xf>
    <xf numFmtId="49" fontId="27" fillId="0" borderId="1191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1052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1072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1090" xfId="181" applyNumberFormat="1" applyFont="1" applyFill="1" applyBorder="1" applyAlignment="1" applyProtection="1">
      <alignment horizontal="left" vertical="center" wrapText="1"/>
      <protection locked="0"/>
    </xf>
    <xf numFmtId="0" fontId="48" fillId="0" borderId="76" xfId="181" applyNumberFormat="1" applyFont="1" applyFill="1" applyBorder="1" applyAlignment="1" applyProtection="1">
      <alignment horizontal="left" vertical="center"/>
      <protection locked="0"/>
    </xf>
    <xf numFmtId="49" fontId="48" fillId="16" borderId="1090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1184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1185" xfId="181" applyNumberFormat="1" applyFont="1" applyFill="1" applyBorder="1" applyAlignment="1" applyProtection="1">
      <alignment horizontal="left" vertical="center" wrapText="1"/>
      <protection locked="0"/>
    </xf>
    <xf numFmtId="49" fontId="48" fillId="16" borderId="1166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0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547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557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167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1171" xfId="181" applyNumberFormat="1" applyFont="1" applyFill="1" applyBorder="1" applyAlignment="1" applyProtection="1">
      <alignment horizontal="left" vertical="center" wrapText="1"/>
      <protection locked="0"/>
    </xf>
    <xf numFmtId="49" fontId="52" fillId="16" borderId="1152" xfId="181" applyNumberFormat="1" applyFont="1" applyFill="1" applyBorder="1" applyAlignment="1" applyProtection="1">
      <alignment horizontal="left" vertical="center" wrapText="1"/>
      <protection locked="0"/>
    </xf>
    <xf numFmtId="0" fontId="95" fillId="0" borderId="1152" xfId="0" applyFont="1" applyBorder="1" applyAlignment="1">
      <alignment horizontal="left" vertical="center" wrapText="1"/>
    </xf>
    <xf numFmtId="49" fontId="27" fillId="21" borderId="75" xfId="181" applyNumberFormat="1" applyFont="1" applyFill="1" applyBorder="1" applyAlignment="1" applyProtection="1">
      <alignment horizontal="center" vertical="center" wrapText="1"/>
      <protection locked="0"/>
    </xf>
    <xf numFmtId="49" fontId="27" fillId="21" borderId="39" xfId="181" applyNumberFormat="1" applyFont="1" applyFill="1" applyBorder="1" applyAlignment="1" applyProtection="1">
      <alignment horizontal="center" vertical="center" wrapText="1"/>
      <protection locked="0"/>
    </xf>
    <xf numFmtId="49" fontId="27" fillId="16" borderId="1152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1157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1152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1162" xfId="181" applyNumberFormat="1" applyFont="1" applyFill="1" applyBorder="1" applyAlignment="1" applyProtection="1">
      <alignment horizontal="left" vertical="center" wrapText="1"/>
      <protection locked="0"/>
    </xf>
    <xf numFmtId="49" fontId="59" fillId="16" borderId="1078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1085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56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1078" xfId="181" applyNumberFormat="1" applyFont="1" applyFill="1" applyBorder="1" applyAlignment="1" applyProtection="1">
      <alignment horizontal="left" vertical="center" wrapText="1"/>
      <protection locked="0"/>
    </xf>
    <xf numFmtId="49" fontId="40" fillId="16" borderId="1078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1141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1078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571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572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123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124" xfId="181" applyNumberFormat="1" applyFont="1" applyFill="1" applyBorder="1" applyAlignment="1" applyProtection="1">
      <alignment horizontal="center" vertical="center" wrapText="1"/>
      <protection locked="0"/>
    </xf>
    <xf numFmtId="49" fontId="40" fillId="16" borderId="1114" xfId="181" applyNumberFormat="1" applyFont="1" applyFill="1" applyBorder="1" applyAlignment="1" applyProtection="1">
      <alignment horizontal="left" vertical="center" wrapText="1"/>
      <protection locked="0"/>
    </xf>
    <xf numFmtId="0" fontId="59" fillId="0" borderId="1114" xfId="181" applyNumberFormat="1" applyFont="1" applyFill="1" applyBorder="1" applyAlignment="1" applyProtection="1">
      <alignment horizontal="left" vertical="center"/>
      <protection locked="0"/>
    </xf>
    <xf numFmtId="49" fontId="10" fillId="0" borderId="39" xfId="181" applyNumberFormat="1" applyFont="1" applyFill="1" applyBorder="1" applyAlignment="1" applyProtection="1">
      <alignment horizontal="center" vertical="center" wrapText="1"/>
      <protection locked="0"/>
    </xf>
    <xf numFmtId="49" fontId="40" fillId="0" borderId="1114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1129" xfId="181" applyNumberFormat="1" applyFont="1" applyFill="1" applyBorder="1" applyAlignment="1" applyProtection="1">
      <alignment horizontal="left" vertical="center" wrapText="1"/>
      <protection locked="0"/>
    </xf>
    <xf numFmtId="49" fontId="59" fillId="0" borderId="1129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1117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1118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1123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1124" xfId="181" applyNumberFormat="1" applyFont="1" applyFill="1" applyBorder="1" applyAlignment="1" applyProtection="1">
      <alignment horizontal="left" vertical="center" wrapText="1"/>
      <protection locked="0"/>
    </xf>
    <xf numFmtId="49" fontId="59" fillId="16" borderId="1117" xfId="181" applyNumberFormat="1" applyFont="1" applyFill="1" applyBorder="1" applyAlignment="1" applyProtection="1">
      <alignment horizontal="left" vertical="center" wrapText="1"/>
      <protection locked="0"/>
    </xf>
    <xf numFmtId="49" fontId="59" fillId="16" borderId="1122" xfId="181" applyNumberFormat="1" applyFont="1" applyFill="1" applyBorder="1" applyAlignment="1" applyProtection="1">
      <alignment horizontal="left" vertical="center" wrapText="1"/>
      <protection locked="0"/>
    </xf>
    <xf numFmtId="49" fontId="40" fillId="0" borderId="76" xfId="181" applyNumberFormat="1" applyFont="1" applyFill="1" applyBorder="1" applyAlignment="1" applyProtection="1">
      <alignment horizontal="left" vertical="center" wrapText="1"/>
      <protection locked="0"/>
    </xf>
    <xf numFmtId="49" fontId="48" fillId="16" borderId="76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1113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094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0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1114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1045" xfId="181" applyNumberFormat="1" applyFont="1" applyFill="1" applyBorder="1" applyAlignment="1" applyProtection="1">
      <alignment horizontal="center" vertical="center" wrapText="1"/>
      <protection locked="0"/>
    </xf>
    <xf numFmtId="0" fontId="1" fillId="0" borderId="1046" xfId="0" applyFont="1" applyBorder="1" applyAlignment="1">
      <alignment horizontal="center" vertical="center" wrapText="1"/>
    </xf>
    <xf numFmtId="49" fontId="40" fillId="16" borderId="547" xfId="181" applyNumberFormat="1" applyFont="1" applyFill="1" applyBorder="1" applyAlignment="1" applyProtection="1">
      <alignment horizontal="left" vertical="center" wrapText="1"/>
      <protection locked="0"/>
    </xf>
    <xf numFmtId="0" fontId="30" fillId="0" borderId="557" xfId="0" applyFont="1" applyBorder="1" applyAlignment="1">
      <alignment horizontal="left" vertical="center" wrapText="1"/>
    </xf>
    <xf numFmtId="49" fontId="10" fillId="16" borderId="76" xfId="181" applyNumberFormat="1" applyFont="1" applyFill="1" applyBorder="1" applyAlignment="1" applyProtection="1">
      <alignment horizontal="left" vertical="center" wrapText="1"/>
      <protection locked="0"/>
    </xf>
    <xf numFmtId="0" fontId="1" fillId="0" borderId="76" xfId="0" applyFont="1" applyBorder="1" applyAlignment="1">
      <alignment horizontal="left" vertical="center" wrapText="1"/>
    </xf>
    <xf numFmtId="49" fontId="10" fillId="0" borderId="75" xfId="181" applyNumberFormat="1" applyFont="1" applyFill="1" applyBorder="1" applyAlignment="1" applyProtection="1">
      <alignment horizontal="center" vertical="center" wrapText="1"/>
      <protection locked="0"/>
    </xf>
    <xf numFmtId="49" fontId="10" fillId="0" borderId="33" xfId="181" applyNumberFormat="1" applyFont="1" applyFill="1" applyBorder="1" applyAlignment="1" applyProtection="1">
      <alignment horizontal="center" vertical="center" wrapText="1"/>
      <protection locked="0"/>
    </xf>
    <xf numFmtId="49" fontId="40" fillId="0" borderId="1085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1092" xfId="181" applyNumberFormat="1" applyFont="1" applyFill="1" applyBorder="1" applyAlignment="1" applyProtection="1">
      <alignment horizontal="left" vertical="center" wrapText="1"/>
      <protection locked="0"/>
    </xf>
    <xf numFmtId="49" fontId="40" fillId="16" borderId="76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1032" xfId="181" applyNumberFormat="1" applyFont="1" applyFill="1" applyBorder="1" applyAlignment="1" applyProtection="1">
      <alignment horizontal="left" vertical="center" wrapText="1"/>
      <protection locked="0"/>
    </xf>
    <xf numFmtId="49" fontId="59" fillId="16" borderId="1045" xfId="181" applyNumberFormat="1" applyFont="1" applyFill="1" applyBorder="1" applyAlignment="1" applyProtection="1">
      <alignment horizontal="left" vertical="center" wrapText="1"/>
      <protection locked="0"/>
    </xf>
    <xf numFmtId="49" fontId="59" fillId="16" borderId="1046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1090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1083" xfId="181" applyNumberFormat="1" applyFont="1" applyFill="1" applyBorder="1" applyAlignment="1" applyProtection="1">
      <alignment horizontal="center" vertical="center" wrapText="1"/>
      <protection locked="0"/>
    </xf>
    <xf numFmtId="0" fontId="1" fillId="0" borderId="1084" xfId="0" applyFont="1" applyBorder="1" applyAlignment="1">
      <alignment vertical="center" wrapText="1"/>
    </xf>
    <xf numFmtId="49" fontId="40" fillId="16" borderId="1085" xfId="181" applyNumberFormat="1" applyFont="1" applyFill="1" applyBorder="1" applyAlignment="1" applyProtection="1">
      <alignment horizontal="left" vertical="center" wrapText="1"/>
      <protection locked="0"/>
    </xf>
    <xf numFmtId="0" fontId="30" fillId="0" borderId="1085" xfId="0" applyFont="1" applyBorder="1" applyAlignment="1">
      <alignment horizontal="left" vertical="center" wrapText="1"/>
    </xf>
    <xf numFmtId="49" fontId="10" fillId="16" borderId="1032" xfId="181" applyNumberFormat="1" applyFont="1" applyFill="1" applyBorder="1" applyAlignment="1" applyProtection="1">
      <alignment horizontal="left" vertical="center" wrapText="1"/>
      <protection locked="0"/>
    </xf>
    <xf numFmtId="0" fontId="1" fillId="0" borderId="1032" xfId="0" applyFont="1" applyBorder="1" applyAlignment="1">
      <alignment horizontal="left" vertical="center" wrapText="1"/>
    </xf>
    <xf numFmtId="49" fontId="10" fillId="16" borderId="1049" xfId="181" applyNumberFormat="1" applyFont="1" applyFill="1" applyBorder="1" applyAlignment="1" applyProtection="1">
      <alignment horizontal="center" vertical="center" wrapText="1"/>
      <protection locked="0"/>
    </xf>
    <xf numFmtId="0" fontId="1" fillId="0" borderId="1082" xfId="0" applyFont="1" applyBorder="1" applyAlignment="1">
      <alignment vertical="center" wrapText="1"/>
    </xf>
    <xf numFmtId="49" fontId="40" fillId="16" borderId="1032" xfId="181" applyNumberFormat="1" applyFont="1" applyFill="1" applyBorder="1" applyAlignment="1" applyProtection="1">
      <alignment horizontal="left" vertical="center" wrapText="1"/>
      <protection locked="0"/>
    </xf>
    <xf numFmtId="0" fontId="30" fillId="0" borderId="1032" xfId="0" applyFont="1" applyBorder="1" applyAlignment="1">
      <alignment horizontal="left" vertical="center" wrapText="1"/>
    </xf>
    <xf numFmtId="49" fontId="10" fillId="0" borderId="1044" xfId="181" applyNumberFormat="1" applyFont="1" applyFill="1" applyBorder="1" applyAlignment="1" applyProtection="1">
      <alignment horizontal="left" vertical="center" wrapText="1"/>
      <protection locked="0"/>
    </xf>
    <xf numFmtId="49" fontId="59" fillId="0" borderId="1026" xfId="181" applyNumberFormat="1" applyFont="1" applyFill="1" applyBorder="1" applyAlignment="1" applyProtection="1">
      <alignment horizontal="left" vertical="center" wrapText="1"/>
      <protection locked="0"/>
    </xf>
    <xf numFmtId="49" fontId="59" fillId="0" borderId="1028" xfId="181" applyNumberFormat="1" applyFont="1" applyFill="1" applyBorder="1" applyAlignment="1" applyProtection="1">
      <alignment horizontal="left" vertical="center" wrapText="1"/>
      <protection locked="0"/>
    </xf>
    <xf numFmtId="49" fontId="40" fillId="0" borderId="1045" xfId="181" applyNumberFormat="1" applyFont="1" applyFill="1" applyBorder="1" applyAlignment="1" applyProtection="1">
      <alignment horizontal="left" vertical="center" wrapText="1"/>
      <protection locked="0"/>
    </xf>
    <xf numFmtId="49" fontId="40" fillId="0" borderId="1035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1052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072" xfId="181" applyNumberFormat="1" applyFont="1" applyFill="1" applyBorder="1" applyAlignment="1" applyProtection="1">
      <alignment horizontal="center" vertical="center" wrapText="1"/>
      <protection locked="0"/>
    </xf>
    <xf numFmtId="49" fontId="15" fillId="0" borderId="76" xfId="181" applyNumberFormat="1" applyFont="1" applyFill="1" applyBorder="1" applyAlignment="1" applyProtection="1">
      <alignment horizontal="left" vertical="center" wrapText="1"/>
      <protection locked="0"/>
    </xf>
    <xf numFmtId="49" fontId="27" fillId="0" borderId="1035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76" xfId="181" applyNumberFormat="1" applyFont="1" applyFill="1" applyBorder="1" applyAlignment="1" applyProtection="1">
      <alignment horizontal="left" vertical="center" wrapText="1"/>
      <protection locked="0"/>
    </xf>
    <xf numFmtId="0" fontId="93" fillId="0" borderId="76" xfId="0" applyFont="1" applyBorder="1" applyAlignment="1">
      <alignment horizontal="left" vertical="center" wrapText="1"/>
    </xf>
    <xf numFmtId="49" fontId="15" fillId="0" borderId="1037" xfId="181" applyNumberFormat="1" applyFont="1" applyFill="1" applyBorder="1" applyAlignment="1" applyProtection="1">
      <alignment horizontal="left" vertical="center" wrapText="1"/>
      <protection locked="0"/>
    </xf>
    <xf numFmtId="0" fontId="48" fillId="0" borderId="1058" xfId="181" applyNumberFormat="1" applyFont="1" applyFill="1" applyBorder="1" applyAlignment="1" applyProtection="1">
      <alignment horizontal="left" vertical="center"/>
      <protection locked="0"/>
    </xf>
    <xf numFmtId="49" fontId="48" fillId="16" borderId="1032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1044" xfId="181" applyNumberFormat="1" applyFont="1" applyFill="1" applyBorder="1" applyAlignment="1" applyProtection="1">
      <alignment horizontal="left" vertical="center" wrapText="1"/>
      <protection locked="0"/>
    </xf>
    <xf numFmtId="49" fontId="48" fillId="0" borderId="1044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39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33" xfId="181" applyNumberFormat="1" applyFont="1" applyFill="1" applyBorder="1" applyAlignment="1" applyProtection="1">
      <alignment horizontal="center" vertical="center" wrapText="1"/>
      <protection locked="0"/>
    </xf>
    <xf numFmtId="49" fontId="15" fillId="0" borderId="1023" xfId="181" applyNumberFormat="1" applyFont="1" applyFill="1" applyBorder="1" applyAlignment="1" applyProtection="1">
      <alignment horizontal="left" vertical="center" wrapText="1"/>
      <protection locked="0"/>
    </xf>
    <xf numFmtId="49" fontId="48" fillId="16" borderId="1020" xfId="181" applyNumberFormat="1" applyFont="1" applyFill="1" applyBorder="1" applyAlignment="1" applyProtection="1">
      <alignment horizontal="left" vertical="center" wrapText="1"/>
      <protection locked="0"/>
    </xf>
    <xf numFmtId="49" fontId="27" fillId="16" borderId="76" xfId="181" applyNumberFormat="1" applyFont="1" applyFill="1" applyBorder="1" applyAlignment="1" applyProtection="1">
      <alignment horizontal="left" vertical="center" wrapText="1"/>
      <protection locked="0"/>
    </xf>
    <xf numFmtId="0" fontId="93" fillId="0" borderId="1032" xfId="0" applyFont="1" applyBorder="1" applyAlignment="1">
      <alignment horizontal="left" vertical="center" wrapText="1"/>
    </xf>
    <xf numFmtId="49" fontId="15" fillId="0" borderId="75" xfId="181" applyNumberFormat="1" applyFont="1" applyFill="1" applyBorder="1" applyAlignment="1" applyProtection="1">
      <alignment horizontal="center" vertical="center" wrapText="1"/>
      <protection locked="0"/>
    </xf>
    <xf numFmtId="49" fontId="48" fillId="16" borderId="1052" xfId="181" applyNumberFormat="1" applyFont="1" applyFill="1" applyBorder="1" applyAlignment="1" applyProtection="1">
      <alignment horizontal="left" vertical="center" wrapText="1"/>
      <protection locked="0"/>
    </xf>
    <xf numFmtId="49" fontId="48" fillId="16" borderId="1053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1049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050" xfId="181" applyNumberFormat="1" applyFont="1" applyFill="1" applyBorder="1" applyAlignment="1" applyProtection="1">
      <alignment horizontal="center" vertical="center" wrapText="1"/>
      <protection locked="0"/>
    </xf>
    <xf numFmtId="49" fontId="27" fillId="21" borderId="30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926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1020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926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1012" xfId="181" applyNumberFormat="1" applyFont="1" applyFill="1" applyBorder="1" applyAlignment="1" applyProtection="1">
      <alignment horizontal="left" vertical="center" wrapText="1"/>
      <protection locked="0"/>
    </xf>
    <xf numFmtId="49" fontId="27" fillId="21" borderId="33" xfId="181" applyNumberFormat="1" applyFont="1" applyFill="1" applyBorder="1" applyAlignment="1" applyProtection="1">
      <alignment horizontal="center" vertical="center" wrapText="1"/>
      <protection locked="0"/>
    </xf>
    <xf numFmtId="49" fontId="10" fillId="0" borderId="990" xfId="181" applyNumberFormat="1" applyFont="1" applyFill="1" applyBorder="1" applyAlignment="1" applyProtection="1">
      <alignment horizontal="left" vertical="center" wrapText="1"/>
      <protection locked="0"/>
    </xf>
    <xf numFmtId="49" fontId="59" fillId="16" borderId="1000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1006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007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552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553" xfId="181" applyNumberFormat="1" applyFont="1" applyFill="1" applyBorder="1" applyAlignment="1" applyProtection="1">
      <alignment horizontal="left" vertical="center" wrapText="1"/>
      <protection locked="0"/>
    </xf>
    <xf numFmtId="49" fontId="27" fillId="0" borderId="604" xfId="181" applyNumberFormat="1" applyFont="1" applyFill="1" applyBorder="1" applyAlignment="1" applyProtection="1">
      <alignment horizontal="left" vertical="center" wrapText="1"/>
      <protection locked="0"/>
    </xf>
    <xf numFmtId="49" fontId="27" fillId="0" borderId="692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986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987" xfId="181" applyNumberFormat="1" applyFont="1" applyFill="1" applyBorder="1" applyAlignment="1" applyProtection="1">
      <alignment horizontal="left" vertical="center" wrapText="1"/>
      <protection locked="0"/>
    </xf>
    <xf numFmtId="0" fontId="59" fillId="0" borderId="76" xfId="181" applyNumberFormat="1" applyFont="1" applyFill="1" applyBorder="1" applyAlignment="1" applyProtection="1">
      <alignment horizontal="left" vertical="center"/>
      <protection locked="0"/>
    </xf>
    <xf numFmtId="49" fontId="59" fillId="16" borderId="923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923" xfId="181" applyNumberFormat="1" applyFont="1" applyFill="1" applyBorder="1" applyAlignment="1" applyProtection="1">
      <alignment horizontal="left" vertical="center" wrapText="1"/>
      <protection locked="0"/>
    </xf>
    <xf numFmtId="49" fontId="53" fillId="0" borderId="958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966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977" xfId="181" applyNumberFormat="1" applyFont="1" applyFill="1" applyBorder="1" applyAlignment="1" applyProtection="1">
      <alignment horizontal="center" vertical="center" wrapText="1"/>
      <protection locked="0"/>
    </xf>
    <xf numFmtId="49" fontId="44" fillId="16" borderId="979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979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983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984" xfId="181" applyNumberFormat="1" applyFont="1" applyFill="1" applyBorder="1" applyAlignment="1" applyProtection="1">
      <alignment horizontal="center" vertical="center" wrapText="1"/>
      <protection locked="0"/>
    </xf>
    <xf numFmtId="49" fontId="10" fillId="0" borderId="956" xfId="181" applyNumberFormat="1" applyFont="1" applyFill="1" applyBorder="1" applyAlignment="1" applyProtection="1">
      <alignment horizontal="left" vertical="center" wrapText="1"/>
      <protection locked="0"/>
    </xf>
    <xf numFmtId="49" fontId="59" fillId="16" borderId="958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959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960" xfId="181" applyNumberFormat="1" applyFont="1" applyFill="1" applyBorder="1" applyAlignment="1" applyProtection="1">
      <alignment horizontal="left" vertical="center" wrapText="1"/>
      <protection locked="0"/>
    </xf>
    <xf numFmtId="0" fontId="29" fillId="0" borderId="572" xfId="0" applyFont="1" applyBorder="1" applyAlignment="1">
      <alignment vertical="center" wrapText="1"/>
    </xf>
    <xf numFmtId="49" fontId="27" fillId="16" borderId="950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950" xfId="181" applyNumberFormat="1" applyFont="1" applyFill="1" applyBorder="1" applyAlignment="1" applyProtection="1">
      <alignment horizontal="left" vertical="center" wrapText="1"/>
      <protection locked="0"/>
    </xf>
    <xf numFmtId="49" fontId="27" fillId="0" borderId="0" xfId="181" applyNumberFormat="1" applyFont="1" applyFill="1" applyBorder="1" applyAlignment="1" applyProtection="1">
      <alignment horizontal="left" vertical="center" wrapText="1"/>
      <protection locked="0"/>
    </xf>
    <xf numFmtId="49" fontId="15" fillId="21" borderId="945" xfId="181" applyNumberFormat="1" applyFont="1" applyFill="1" applyBorder="1" applyAlignment="1" applyProtection="1">
      <alignment horizontal="left" vertical="center" wrapText="1"/>
      <protection locked="0"/>
    </xf>
    <xf numFmtId="49" fontId="15" fillId="21" borderId="836" xfId="181" applyNumberFormat="1" applyFont="1" applyFill="1" applyBorder="1" applyAlignment="1" applyProtection="1">
      <alignment horizontal="left" vertical="center" wrapText="1"/>
      <protection locked="0"/>
    </xf>
    <xf numFmtId="49" fontId="53" fillId="0" borderId="39" xfId="181" applyNumberFormat="1" applyFont="1" applyFill="1" applyBorder="1" applyAlignment="1" applyProtection="1">
      <alignment horizontal="center" vertical="center" wrapText="1"/>
      <protection locked="0"/>
    </xf>
    <xf numFmtId="49" fontId="53" fillId="0" borderId="33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950" xfId="181" applyNumberFormat="1" applyFont="1" applyFill="1" applyBorder="1" applyAlignment="1" applyProtection="1">
      <alignment horizontal="left" vertical="center" wrapText="1"/>
      <protection locked="0"/>
    </xf>
    <xf numFmtId="0" fontId="29" fillId="0" borderId="950" xfId="0" applyFont="1" applyBorder="1" applyAlignment="1">
      <alignment horizontal="left" vertical="center" wrapText="1"/>
    </xf>
    <xf numFmtId="49" fontId="27" fillId="0" borderId="605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931" xfId="181" applyNumberFormat="1" applyFont="1" applyFill="1" applyBorder="1" applyAlignment="1" applyProtection="1">
      <alignment horizontal="left" vertical="center" wrapText="1"/>
      <protection locked="0"/>
    </xf>
    <xf numFmtId="49" fontId="48" fillId="16" borderId="692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943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944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923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76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914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836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895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547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563" xfId="181" applyNumberFormat="1" applyFont="1" applyFill="1" applyBorder="1" applyAlignment="1" applyProtection="1">
      <alignment horizontal="left" vertical="center" wrapText="1"/>
      <protection locked="0"/>
    </xf>
    <xf numFmtId="0" fontId="35" fillId="0" borderId="923" xfId="0" applyFont="1" applyBorder="1" applyAlignment="1">
      <alignment horizontal="left" vertical="center" wrapText="1"/>
    </xf>
    <xf numFmtId="49" fontId="10" fillId="0" borderId="30" xfId="181" applyNumberFormat="1" applyFont="1" applyFill="1" applyBorder="1" applyAlignment="1" applyProtection="1">
      <alignment horizontal="center" vertical="center" wrapText="1"/>
      <protection locked="0"/>
    </xf>
    <xf numFmtId="49" fontId="10" fillId="0" borderId="926" xfId="181" applyNumberFormat="1" applyFont="1" applyFill="1" applyBorder="1" applyAlignment="1" applyProtection="1">
      <alignment horizontal="left" vertical="center" wrapText="1"/>
      <protection locked="0"/>
    </xf>
    <xf numFmtId="49" fontId="44" fillId="16" borderId="571" xfId="181" applyNumberFormat="1" applyFont="1" applyFill="1" applyBorder="1" applyAlignment="1" applyProtection="1">
      <alignment horizontal="left" vertical="center" wrapText="1"/>
      <protection locked="0"/>
    </xf>
    <xf numFmtId="49" fontId="44" fillId="16" borderId="572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861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862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871" xfId="181" applyNumberFormat="1" applyFont="1" applyFill="1" applyBorder="1" applyAlignment="1" applyProtection="1">
      <alignment horizontal="left" vertical="center" wrapText="1"/>
      <protection locked="0"/>
    </xf>
    <xf numFmtId="0" fontId="59" fillId="0" borderId="829" xfId="181" applyNumberFormat="1" applyFont="1" applyFill="1" applyBorder="1" applyAlignment="1" applyProtection="1">
      <alignment horizontal="left" vertical="center"/>
      <protection locked="0"/>
    </xf>
    <xf numFmtId="49" fontId="59" fillId="16" borderId="895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845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847" xfId="181" applyNumberFormat="1" applyFont="1" applyFill="1" applyBorder="1" applyAlignment="1" applyProtection="1">
      <alignment horizontal="left" vertical="center" wrapText="1"/>
      <protection locked="0"/>
    </xf>
    <xf numFmtId="49" fontId="40" fillId="16" borderId="692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847" xfId="181" applyNumberFormat="1" applyFont="1" applyFill="1" applyBorder="1" applyAlignment="1" applyProtection="1">
      <alignment horizontal="left" vertical="center" wrapText="1"/>
      <protection locked="0"/>
    </xf>
    <xf numFmtId="49" fontId="52" fillId="16" borderId="76" xfId="181" applyNumberFormat="1" applyFont="1" applyFill="1" applyBorder="1" applyAlignment="1" applyProtection="1">
      <alignment horizontal="left" vertical="center" wrapText="1"/>
      <protection locked="0"/>
    </xf>
    <xf numFmtId="0" fontId="95" fillId="0" borderId="76" xfId="0" applyFont="1" applyBorder="1" applyAlignment="1">
      <alignment horizontal="left" vertical="center" wrapText="1"/>
    </xf>
    <xf numFmtId="49" fontId="40" fillId="0" borderId="571" xfId="181" applyNumberFormat="1" applyFont="1" applyFill="1" applyBorder="1" applyAlignment="1" applyProtection="1">
      <alignment horizontal="left" vertical="center" wrapText="1"/>
      <protection locked="0"/>
    </xf>
    <xf numFmtId="49" fontId="40" fillId="0" borderId="572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796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839" xfId="181" applyNumberFormat="1" applyFont="1" applyFill="1" applyBorder="1" applyAlignment="1" applyProtection="1">
      <alignment horizontal="left" vertical="center" wrapText="1"/>
      <protection locked="0"/>
    </xf>
    <xf numFmtId="49" fontId="59" fillId="16" borderId="797" xfId="181" applyNumberFormat="1" applyFont="1" applyFill="1" applyBorder="1" applyAlignment="1" applyProtection="1">
      <alignment horizontal="left" vertical="center" wrapText="1"/>
      <protection locked="0"/>
    </xf>
    <xf numFmtId="49" fontId="59" fillId="16" borderId="849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845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845" xfId="181" applyNumberFormat="1" applyFont="1" applyFill="1" applyBorder="1" applyAlignment="1" applyProtection="1">
      <alignment horizontal="left" vertical="center" wrapText="1"/>
      <protection locked="0"/>
    </xf>
    <xf numFmtId="49" fontId="44" fillId="0" borderId="39" xfId="181" applyNumberFormat="1" applyFont="1" applyFill="1" applyBorder="1" applyAlignment="1" applyProtection="1">
      <alignment horizontal="center" vertical="center" wrapText="1"/>
      <protection locked="0"/>
    </xf>
    <xf numFmtId="49" fontId="44" fillId="0" borderId="33" xfId="181" applyNumberFormat="1" applyFont="1" applyFill="1" applyBorder="1" applyAlignment="1" applyProtection="1">
      <alignment horizontal="center" vertical="center" wrapText="1"/>
      <protection locked="0"/>
    </xf>
    <xf numFmtId="49" fontId="53" fillId="0" borderId="845" xfId="181" applyNumberFormat="1" applyFont="1" applyFill="1" applyBorder="1" applyAlignment="1" applyProtection="1">
      <alignment horizontal="left" vertical="center" wrapText="1"/>
      <protection locked="0"/>
    </xf>
    <xf numFmtId="49" fontId="44" fillId="0" borderId="845" xfId="181" applyNumberFormat="1" applyFont="1" applyFill="1" applyBorder="1" applyAlignment="1" applyProtection="1">
      <alignment horizontal="left" vertical="center" wrapText="1"/>
      <protection locked="0"/>
    </xf>
    <xf numFmtId="49" fontId="44" fillId="16" borderId="845" xfId="181" applyNumberFormat="1" applyFont="1" applyFill="1" applyBorder="1" applyAlignment="1" applyProtection="1">
      <alignment horizontal="left" vertical="center" wrapText="1"/>
      <protection locked="0"/>
    </xf>
    <xf numFmtId="49" fontId="44" fillId="16" borderId="557" xfId="181" applyNumberFormat="1" applyFont="1" applyFill="1" applyBorder="1" applyAlignment="1" applyProtection="1">
      <alignment horizontal="left" vertical="center" wrapText="1"/>
      <protection locked="0"/>
    </xf>
    <xf numFmtId="49" fontId="40" fillId="16" borderId="845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796" xfId="181" applyNumberFormat="1" applyFont="1" applyFill="1" applyBorder="1" applyAlignment="1" applyProtection="1">
      <alignment horizontal="left" vertical="center" wrapText="1"/>
      <protection locked="0"/>
    </xf>
    <xf numFmtId="49" fontId="40" fillId="16" borderId="847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835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836" xfId="181" applyNumberFormat="1" applyFont="1" applyFill="1" applyBorder="1" applyAlignment="1" applyProtection="1">
      <alignment horizontal="left" vertical="center" wrapText="1"/>
      <protection locked="0"/>
    </xf>
    <xf numFmtId="0" fontId="59" fillId="0" borderId="845" xfId="181" applyNumberFormat="1" applyFont="1" applyFill="1" applyBorder="1" applyAlignment="1" applyProtection="1">
      <alignment horizontal="left" vertical="center"/>
      <protection locked="0"/>
    </xf>
    <xf numFmtId="49" fontId="48" fillId="16" borderId="845" xfId="181" applyNumberFormat="1" applyFont="1" applyFill="1" applyBorder="1" applyAlignment="1" applyProtection="1">
      <alignment horizontal="left" vertical="center" wrapText="1"/>
      <protection locked="0"/>
    </xf>
    <xf numFmtId="49" fontId="59" fillId="16" borderId="845" xfId="181" applyNumberFormat="1" applyFont="1" applyFill="1" applyBorder="1" applyAlignment="1" applyProtection="1">
      <alignment horizontal="left" vertical="center" wrapText="1"/>
      <protection locked="0"/>
    </xf>
    <xf numFmtId="0" fontId="35" fillId="0" borderId="845" xfId="0" applyFont="1" applyBorder="1" applyAlignment="1">
      <alignment horizontal="left" vertical="center" wrapText="1"/>
    </xf>
    <xf numFmtId="49" fontId="40" fillId="0" borderId="39" xfId="181" applyNumberFormat="1" applyFont="1" applyFill="1" applyBorder="1" applyAlignment="1" applyProtection="1">
      <alignment horizontal="center" vertical="center" wrapText="1"/>
      <protection locked="0"/>
    </xf>
    <xf numFmtId="49" fontId="59" fillId="16" borderId="847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720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804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547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563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571" xfId="181" applyNumberFormat="1" applyFont="1" applyFill="1" applyBorder="1" applyAlignment="1" applyProtection="1">
      <alignment horizontal="center" vertical="center" wrapText="1"/>
      <protection locked="0"/>
    </xf>
    <xf numFmtId="0" fontId="1" fillId="0" borderId="572" xfId="0" applyFont="1" applyBorder="1" applyAlignment="1">
      <alignment vertical="center" wrapText="1"/>
    </xf>
    <xf numFmtId="49" fontId="10" fillId="0" borderId="861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862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52" xfId="181" applyNumberFormat="1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>
      <alignment vertical="center" wrapText="1"/>
    </xf>
    <xf numFmtId="49" fontId="15" fillId="0" borderId="845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821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856" xfId="181" applyNumberFormat="1" applyFont="1" applyFill="1" applyBorder="1" applyAlignment="1" applyProtection="1">
      <alignment horizontal="left" vertical="center" wrapText="1"/>
      <protection locked="0"/>
    </xf>
    <xf numFmtId="49" fontId="44" fillId="0" borderId="50" xfId="181" applyNumberFormat="1" applyFont="1" applyFill="1" applyBorder="1" applyAlignment="1" applyProtection="1">
      <alignment horizontal="left" vertical="center" wrapText="1"/>
      <protection locked="0"/>
    </xf>
    <xf numFmtId="49" fontId="44" fillId="0" borderId="854" xfId="181" applyNumberFormat="1" applyFont="1" applyFill="1" applyBorder="1" applyAlignment="1" applyProtection="1">
      <alignment horizontal="left" vertical="center" wrapText="1"/>
      <protection locked="0"/>
    </xf>
    <xf numFmtId="49" fontId="52" fillId="16" borderId="845" xfId="181" applyNumberFormat="1" applyFont="1" applyFill="1" applyBorder="1" applyAlignment="1" applyProtection="1">
      <alignment horizontal="left" vertical="center" wrapText="1"/>
      <protection locked="0"/>
    </xf>
    <xf numFmtId="49" fontId="10" fillId="2" borderId="39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39" xfId="181" applyNumberFormat="1" applyFont="1" applyFill="1" applyBorder="1" applyAlignment="1" applyProtection="1">
      <alignment horizontal="center" vertical="center" wrapText="1"/>
      <protection locked="0"/>
    </xf>
    <xf numFmtId="49" fontId="40" fillId="16" borderId="571" xfId="181" applyNumberFormat="1" applyFont="1" applyFill="1" applyBorder="1" applyAlignment="1" applyProtection="1">
      <alignment horizontal="left" wrapText="1"/>
      <protection locked="0"/>
    </xf>
    <xf numFmtId="49" fontId="40" fillId="16" borderId="572" xfId="181" applyNumberFormat="1" applyFont="1" applyFill="1" applyBorder="1" applyAlignment="1" applyProtection="1">
      <alignment horizontal="left" wrapText="1"/>
      <protection locked="0"/>
    </xf>
    <xf numFmtId="49" fontId="40" fillId="21" borderId="76" xfId="181" applyNumberFormat="1" applyFont="1" applyFill="1" applyBorder="1" applyAlignment="1" applyProtection="1">
      <alignment horizontal="left" vertical="center" wrapText="1"/>
      <protection locked="0"/>
    </xf>
    <xf numFmtId="49" fontId="10" fillId="21" borderId="845" xfId="181" applyNumberFormat="1" applyFont="1" applyFill="1" applyBorder="1" applyAlignment="1" applyProtection="1">
      <alignment horizontal="left" vertical="center" wrapText="1"/>
      <protection locked="0"/>
    </xf>
    <xf numFmtId="0" fontId="1" fillId="0" borderId="845" xfId="0" applyFont="1" applyBorder="1" applyAlignment="1">
      <alignment horizontal="left" vertical="center" wrapText="1"/>
    </xf>
    <xf numFmtId="49" fontId="40" fillId="16" borderId="835" xfId="181" applyNumberFormat="1" applyFont="1" applyFill="1" applyBorder="1" applyAlignment="1" applyProtection="1">
      <alignment horizontal="left" vertical="center" wrapText="1"/>
      <protection locked="0"/>
    </xf>
    <xf numFmtId="49" fontId="40" fillId="16" borderId="836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838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839" xfId="181" applyNumberFormat="1" applyFont="1" applyFill="1" applyBorder="1" applyAlignment="1" applyProtection="1">
      <alignment horizontal="left" vertical="center" wrapText="1"/>
      <protection locked="0"/>
    </xf>
    <xf numFmtId="49" fontId="44" fillId="16" borderId="720" xfId="181" applyNumberFormat="1" applyFont="1" applyFill="1" applyBorder="1" applyAlignment="1" applyProtection="1">
      <alignment horizontal="left" vertical="center" wrapText="1"/>
      <protection locked="0"/>
    </xf>
    <xf numFmtId="49" fontId="44" fillId="16" borderId="804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720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804" xfId="181" applyNumberFormat="1" applyFont="1" applyFill="1" applyBorder="1" applyAlignment="1" applyProtection="1">
      <alignment horizontal="left" vertical="center" wrapText="1"/>
      <protection locked="0"/>
    </xf>
    <xf numFmtId="49" fontId="44" fillId="16" borderId="796" xfId="181" applyNumberFormat="1" applyFont="1" applyFill="1" applyBorder="1" applyAlignment="1" applyProtection="1">
      <alignment horizontal="left" vertical="center" wrapText="1"/>
      <protection locked="0"/>
    </xf>
    <xf numFmtId="0" fontId="86" fillId="0" borderId="803" xfId="0" applyFont="1" applyBorder="1" applyAlignment="1">
      <alignment horizontal="left" vertical="center" wrapText="1"/>
    </xf>
    <xf numFmtId="49" fontId="53" fillId="16" borderId="796" xfId="181" applyNumberFormat="1" applyFont="1" applyFill="1" applyBorder="1" applyAlignment="1" applyProtection="1">
      <alignment horizontal="left" vertical="center" wrapText="1"/>
      <protection locked="0"/>
    </xf>
    <xf numFmtId="0" fontId="29" fillId="0" borderId="803" xfId="0" applyFont="1" applyBorder="1" applyAlignment="1">
      <alignment horizontal="left" vertical="center" wrapText="1"/>
    </xf>
    <xf numFmtId="49" fontId="40" fillId="0" borderId="50" xfId="181" applyNumberFormat="1" applyFont="1" applyFill="1" applyBorder="1" applyAlignment="1" applyProtection="1">
      <alignment horizontal="left" vertical="center" wrapText="1"/>
      <protection locked="0"/>
    </xf>
    <xf numFmtId="49" fontId="40" fillId="0" borderId="293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803" xfId="181" applyNumberFormat="1" applyFont="1" applyFill="1" applyBorder="1" applyAlignment="1" applyProtection="1">
      <alignment horizontal="left" vertical="center" wrapText="1"/>
      <protection locked="0"/>
    </xf>
    <xf numFmtId="49" fontId="59" fillId="16" borderId="796" xfId="181" applyNumberFormat="1" applyFont="1" applyFill="1" applyBorder="1" applyAlignment="1" applyProtection="1">
      <alignment horizontal="left" vertical="center" wrapText="1"/>
      <protection locked="0"/>
    </xf>
    <xf numFmtId="49" fontId="59" fillId="16" borderId="803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375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674" xfId="181" applyNumberFormat="1" applyFont="1" applyFill="1" applyBorder="1" applyAlignment="1" applyProtection="1">
      <alignment horizontal="left" vertical="center" wrapText="1"/>
      <protection locked="0"/>
    </xf>
    <xf numFmtId="49" fontId="53" fillId="0" borderId="52" xfId="181" applyNumberFormat="1" applyFont="1" applyFill="1" applyBorder="1" applyAlignment="1" applyProtection="1">
      <alignment horizontal="center" vertical="center" wrapText="1"/>
      <protection locked="0"/>
    </xf>
    <xf numFmtId="49" fontId="44" fillId="0" borderId="571" xfId="181" applyNumberFormat="1" applyFont="1" applyFill="1" applyBorder="1" applyAlignment="1" applyProtection="1">
      <alignment horizontal="left" vertical="center" wrapText="1"/>
      <protection locked="0"/>
    </xf>
    <xf numFmtId="49" fontId="44" fillId="0" borderId="572" xfId="181" applyNumberFormat="1" applyFont="1" applyFill="1" applyBorder="1" applyAlignment="1" applyProtection="1">
      <alignment horizontal="left" vertical="center" wrapText="1"/>
      <protection locked="0"/>
    </xf>
    <xf numFmtId="49" fontId="53" fillId="0" borderId="796" xfId="181" applyNumberFormat="1" applyFont="1" applyFill="1" applyBorder="1" applyAlignment="1" applyProtection="1">
      <alignment horizontal="left" vertical="center" wrapText="1"/>
      <protection locked="0"/>
    </xf>
    <xf numFmtId="49" fontId="53" fillId="0" borderId="803" xfId="181" applyNumberFormat="1" applyFont="1" applyFill="1" applyBorder="1" applyAlignment="1" applyProtection="1">
      <alignment horizontal="left" vertical="center" wrapText="1"/>
      <protection locked="0"/>
    </xf>
    <xf numFmtId="49" fontId="52" fillId="16" borderId="796" xfId="181" applyNumberFormat="1" applyFont="1" applyFill="1" applyBorder="1" applyAlignment="1" applyProtection="1">
      <alignment horizontal="left" vertical="center" wrapText="1"/>
      <protection locked="0"/>
    </xf>
    <xf numFmtId="49" fontId="52" fillId="16" borderId="803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821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822" xfId="181" applyNumberFormat="1" applyFont="1" applyFill="1" applyBorder="1" applyAlignment="1" applyProtection="1">
      <alignment horizontal="center" vertical="center" wrapText="1"/>
      <protection locked="0"/>
    </xf>
    <xf numFmtId="49" fontId="53" fillId="0" borderId="816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557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563" xfId="181" applyNumberFormat="1" applyFont="1" applyFill="1" applyBorder="1" applyAlignment="1" applyProtection="1">
      <alignment horizontal="left" vertical="center" wrapText="1"/>
      <protection locked="0"/>
    </xf>
    <xf numFmtId="49" fontId="27" fillId="16" borderId="786" xfId="181" applyNumberFormat="1" applyFont="1" applyFill="1" applyBorder="1" applyAlignment="1" applyProtection="1">
      <alignment horizontal="left" vertical="center" wrapText="1"/>
      <protection locked="0"/>
    </xf>
    <xf numFmtId="49" fontId="27" fillId="16" borderId="803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786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803" xfId="181" applyNumberFormat="1" applyFont="1" applyFill="1" applyBorder="1" applyAlignment="1" applyProtection="1">
      <alignment horizontal="left" vertical="center" wrapText="1"/>
      <protection locked="0"/>
    </xf>
    <xf numFmtId="49" fontId="53" fillId="0" borderId="31" xfId="181" applyNumberFormat="1" applyFont="1" applyFill="1" applyBorder="1" applyAlignment="1" applyProtection="1">
      <alignment horizontal="center" vertical="center" wrapText="1"/>
      <protection locked="0"/>
    </xf>
    <xf numFmtId="49" fontId="53" fillId="0" borderId="34" xfId="181" applyNumberFormat="1" applyFont="1" applyFill="1" applyBorder="1" applyAlignment="1" applyProtection="1">
      <alignment horizontal="center" vertical="center" wrapText="1"/>
      <protection locked="0"/>
    </xf>
    <xf numFmtId="49" fontId="44" fillId="0" borderId="604" xfId="181" applyNumberFormat="1" applyFont="1" applyFill="1" applyBorder="1" applyAlignment="1" applyProtection="1">
      <alignment horizontal="left" vertical="center" wrapText="1"/>
      <protection locked="0"/>
    </xf>
    <xf numFmtId="49" fontId="44" fillId="0" borderId="605" xfId="181" applyNumberFormat="1" applyFont="1" applyFill="1" applyBorder="1" applyAlignment="1" applyProtection="1">
      <alignment horizontal="left" vertical="center" wrapText="1"/>
      <protection locked="0"/>
    </xf>
    <xf numFmtId="49" fontId="53" fillId="0" borderId="810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803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786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803" xfId="181" applyNumberFormat="1" applyFont="1" applyFill="1" applyBorder="1" applyAlignment="1" applyProtection="1">
      <alignment horizontal="left" vertical="center" wrapText="1"/>
      <protection locked="0"/>
    </xf>
    <xf numFmtId="0" fontId="48" fillId="0" borderId="786" xfId="181" applyNumberFormat="1" applyFont="1" applyFill="1" applyBorder="1" applyAlignment="1" applyProtection="1">
      <alignment horizontal="left" vertical="center"/>
      <protection locked="0"/>
    </xf>
    <xf numFmtId="0" fontId="48" fillId="0" borderId="803" xfId="181" applyNumberFormat="1" applyFont="1" applyFill="1" applyBorder="1" applyAlignment="1" applyProtection="1">
      <alignment horizontal="left" vertical="center"/>
      <protection locked="0"/>
    </xf>
    <xf numFmtId="49" fontId="48" fillId="16" borderId="786" xfId="181" applyNumberFormat="1" applyFont="1" applyFill="1" applyBorder="1" applyAlignment="1" applyProtection="1">
      <alignment horizontal="left" vertical="center" wrapText="1"/>
      <protection locked="0"/>
    </xf>
    <xf numFmtId="49" fontId="48" fillId="16" borderId="803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809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810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692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605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181" applyNumberFormat="1" applyFont="1" applyFill="1" applyBorder="1" applyAlignment="1" applyProtection="1">
      <alignment horizontal="left" vertical="center" wrapText="1"/>
      <protection locked="0"/>
    </xf>
    <xf numFmtId="49" fontId="27" fillId="16" borderId="571" xfId="181" applyNumberFormat="1" applyFont="1" applyFill="1" applyBorder="1" applyAlignment="1" applyProtection="1">
      <alignment horizontal="left" vertical="center" wrapText="1"/>
      <protection locked="0"/>
    </xf>
    <xf numFmtId="49" fontId="27" fillId="16" borderId="572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571" xfId="181" applyNumberFormat="1" applyFont="1" applyFill="1" applyBorder="1" applyAlignment="1" applyProtection="1">
      <alignment horizontal="left" vertical="center" wrapText="1"/>
      <protection locked="0"/>
    </xf>
    <xf numFmtId="0" fontId="93" fillId="0" borderId="572" xfId="0" applyFont="1" applyBorder="1" applyAlignment="1">
      <alignment horizontal="left" vertical="center" wrapText="1"/>
    </xf>
    <xf numFmtId="49" fontId="15" fillId="0" borderId="779" xfId="181" applyNumberFormat="1" applyFont="1" applyFill="1" applyBorder="1" applyAlignment="1" applyProtection="1">
      <alignment horizontal="left" vertical="center" wrapText="1"/>
      <protection locked="0"/>
    </xf>
    <xf numFmtId="49" fontId="27" fillId="16" borderId="767" xfId="181" applyNumberFormat="1" applyFont="1" applyFill="1" applyBorder="1" applyAlignment="1" applyProtection="1">
      <alignment horizontal="left" vertical="center" wrapText="1"/>
      <protection locked="0"/>
    </xf>
    <xf numFmtId="0" fontId="65" fillId="0" borderId="786" xfId="0" applyFont="1" applyBorder="1" applyAlignment="1">
      <alignment horizontal="left" vertical="center" wrapText="1"/>
    </xf>
    <xf numFmtId="49" fontId="52" fillId="16" borderId="767" xfId="181" applyNumberFormat="1" applyFont="1" applyFill="1" applyBorder="1" applyAlignment="1" applyProtection="1">
      <alignment horizontal="left" vertical="center" wrapText="1"/>
      <protection locked="0"/>
    </xf>
    <xf numFmtId="0" fontId="95" fillId="0" borderId="767" xfId="0" applyFont="1" applyBorder="1" applyAlignment="1">
      <alignment horizontal="left" vertical="center" wrapText="1"/>
    </xf>
    <xf numFmtId="49" fontId="15" fillId="0" borderId="767" xfId="181" applyNumberFormat="1" applyFont="1" applyFill="1" applyBorder="1" applyAlignment="1" applyProtection="1">
      <alignment horizontal="left" vertical="center" wrapText="1"/>
      <protection locked="0"/>
    </xf>
    <xf numFmtId="0" fontId="48" fillId="0" borderId="767" xfId="181" applyNumberFormat="1" applyFont="1" applyFill="1" applyBorder="1" applyAlignment="1" applyProtection="1">
      <alignment horizontal="left" vertical="center"/>
      <protection locked="0"/>
    </xf>
    <xf numFmtId="49" fontId="48" fillId="16" borderId="767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704" xfId="181" applyNumberFormat="1" applyFont="1" applyFill="1" applyBorder="1" applyAlignment="1" applyProtection="1">
      <alignment horizontal="left" vertical="center" wrapText="1"/>
      <protection locked="0"/>
    </xf>
    <xf numFmtId="0" fontId="48" fillId="0" borderId="704" xfId="181" applyNumberFormat="1" applyFont="1" applyFill="1" applyBorder="1" applyAlignment="1" applyProtection="1">
      <alignment horizontal="left" vertical="center"/>
      <protection locked="0"/>
    </xf>
    <xf numFmtId="49" fontId="15" fillId="16" borderId="737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704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704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555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546" xfId="181" applyNumberFormat="1" applyFont="1" applyFill="1" applyBorder="1" applyAlignment="1" applyProtection="1">
      <alignment horizontal="left" vertical="center" wrapText="1"/>
      <protection locked="0"/>
    </xf>
    <xf numFmtId="0" fontId="93" fillId="0" borderId="704" xfId="0" applyFont="1" applyBorder="1" applyAlignment="1">
      <alignment horizontal="left" vertical="center" wrapText="1"/>
    </xf>
    <xf numFmtId="49" fontId="48" fillId="16" borderId="481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481" xfId="181" applyNumberFormat="1" applyFont="1" applyFill="1" applyBorder="1" applyAlignment="1" applyProtection="1">
      <alignment horizontal="left" vertical="center" wrapText="1"/>
      <protection locked="0"/>
    </xf>
    <xf numFmtId="0" fontId="93" fillId="0" borderId="481" xfId="0" applyFont="1" applyBorder="1" applyAlignment="1">
      <alignment horizontal="left" vertical="center" wrapText="1"/>
    </xf>
    <xf numFmtId="49" fontId="44" fillId="0" borderId="481" xfId="181" applyNumberFormat="1" applyFont="1" applyFill="1" applyBorder="1" applyAlignment="1" applyProtection="1">
      <alignment horizontal="left" vertical="center" wrapText="1"/>
      <protection locked="0"/>
    </xf>
    <xf numFmtId="49" fontId="53" fillId="0" borderId="704" xfId="181" applyNumberFormat="1" applyFont="1" applyFill="1" applyBorder="1" applyAlignment="1" applyProtection="1">
      <alignment horizontal="left" vertical="center" wrapText="1"/>
      <protection locked="0"/>
    </xf>
    <xf numFmtId="49" fontId="52" fillId="16" borderId="704" xfId="181" applyNumberFormat="1" applyFont="1" applyFill="1" applyBorder="1" applyAlignment="1" applyProtection="1">
      <alignment horizontal="left" vertical="center" wrapText="1"/>
      <protection locked="0"/>
    </xf>
    <xf numFmtId="49" fontId="27" fillId="0" borderId="481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39" xfId="181" applyNumberFormat="1" applyFont="1" applyFill="1" applyBorder="1" applyAlignment="1" applyProtection="1">
      <alignment horizontal="center" vertical="center" wrapText="1"/>
      <protection locked="0"/>
    </xf>
    <xf numFmtId="0" fontId="52" fillId="0" borderId="704" xfId="181" applyNumberFormat="1" applyFont="1" applyFill="1" applyBorder="1" applyAlignment="1" applyProtection="1">
      <alignment horizontal="left" vertical="center"/>
      <protection locked="0"/>
    </xf>
    <xf numFmtId="49" fontId="53" fillId="16" borderId="481" xfId="181" applyNumberFormat="1" applyFont="1" applyFill="1" applyBorder="1" applyAlignment="1" applyProtection="1">
      <alignment horizontal="left" vertical="center" wrapText="1"/>
      <protection locked="0"/>
    </xf>
    <xf numFmtId="49" fontId="44" fillId="16" borderId="684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728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729" xfId="181" applyNumberFormat="1" applyFont="1" applyFill="1" applyBorder="1" applyAlignment="1" applyProtection="1">
      <alignment horizontal="left" vertical="center" wrapText="1"/>
      <protection locked="0"/>
    </xf>
    <xf numFmtId="49" fontId="27" fillId="0" borderId="459" xfId="181" applyNumberFormat="1" applyFont="1" applyFill="1" applyBorder="1" applyAlignment="1" applyProtection="1">
      <alignment horizontal="left" vertical="center" wrapText="1"/>
      <protection locked="0"/>
    </xf>
    <xf numFmtId="49" fontId="27" fillId="0" borderId="460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693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701" xfId="181" applyNumberFormat="1" applyFont="1" applyFill="1" applyBorder="1" applyAlignment="1" applyProtection="1">
      <alignment horizontal="left" vertical="center" wrapText="1"/>
      <protection locked="0"/>
    </xf>
    <xf numFmtId="49" fontId="27" fillId="16" borderId="692" xfId="181" applyNumberFormat="1" applyFont="1" applyFill="1" applyBorder="1" applyAlignment="1" applyProtection="1">
      <alignment horizontal="left" vertical="center" wrapText="1"/>
      <protection locked="0"/>
    </xf>
    <xf numFmtId="49" fontId="27" fillId="16" borderId="605" xfId="181" applyNumberFormat="1" applyFont="1" applyFill="1" applyBorder="1" applyAlignment="1" applyProtection="1">
      <alignment horizontal="left" vertical="center" wrapText="1"/>
      <protection locked="0"/>
    </xf>
    <xf numFmtId="0" fontId="93" fillId="0" borderId="705" xfId="0" applyFont="1" applyBorder="1" applyAlignment="1">
      <alignment horizontal="left" vertical="center" wrapText="1"/>
    </xf>
    <xf numFmtId="49" fontId="47" fillId="0" borderId="30" xfId="181" applyNumberFormat="1" applyFont="1" applyFill="1" applyBorder="1" applyAlignment="1" applyProtection="1">
      <alignment horizontal="center" vertical="center" wrapText="1"/>
      <protection locked="0"/>
    </xf>
    <xf numFmtId="49" fontId="47" fillId="0" borderId="39" xfId="181" applyNumberFormat="1" applyFont="1" applyFill="1" applyBorder="1" applyAlignment="1" applyProtection="1">
      <alignment horizontal="center" vertical="center" wrapText="1"/>
      <protection locked="0"/>
    </xf>
    <xf numFmtId="0" fontId="93" fillId="0" borderId="39" xfId="0" applyFont="1" applyBorder="1" applyAlignment="1">
      <alignment horizontal="center" vertical="center" wrapText="1"/>
    </xf>
    <xf numFmtId="0" fontId="93" fillId="0" borderId="33" xfId="0" applyFont="1" applyBorder="1" applyAlignment="1">
      <alignment horizontal="center" vertical="center" wrapText="1"/>
    </xf>
    <xf numFmtId="49" fontId="15" fillId="16" borderId="705" xfId="181" applyNumberFormat="1" applyFont="1" applyFill="1" applyBorder="1" applyAlignment="1" applyProtection="1">
      <alignment horizontal="left" vertical="center" wrapText="1"/>
      <protection locked="0"/>
    </xf>
    <xf numFmtId="49" fontId="47" fillId="0" borderId="711" xfId="181" applyNumberFormat="1" applyFont="1" applyFill="1" applyBorder="1" applyAlignment="1" applyProtection="1">
      <alignment horizontal="center" vertical="center" wrapText="1"/>
      <protection locked="0"/>
    </xf>
    <xf numFmtId="49" fontId="27" fillId="16" borderId="481" xfId="181" applyNumberFormat="1" applyFont="1" applyFill="1" applyBorder="1" applyAlignment="1" applyProtection="1">
      <alignment horizontal="left" vertical="center" wrapText="1"/>
      <protection locked="0"/>
    </xf>
    <xf numFmtId="49" fontId="27" fillId="16" borderId="460" xfId="181" applyNumberFormat="1" applyFont="1" applyFill="1" applyBorder="1" applyAlignment="1" applyProtection="1">
      <alignment horizontal="left" vertical="center" wrapText="1"/>
      <protection locked="0"/>
    </xf>
    <xf numFmtId="49" fontId="40" fillId="0" borderId="481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694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694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701" xfId="181" applyNumberFormat="1" applyFont="1" applyFill="1" applyBorder="1" applyAlignment="1" applyProtection="1">
      <alignment horizontal="left" vertical="center" wrapText="1"/>
      <protection locked="0"/>
    </xf>
    <xf numFmtId="49" fontId="48" fillId="16" borderId="704" xfId="181" applyNumberFormat="1" applyFont="1" applyFill="1" applyBorder="1" applyAlignment="1" applyProtection="1">
      <alignment horizontal="left" vertical="center" wrapText="1"/>
      <protection locked="0"/>
    </xf>
    <xf numFmtId="49" fontId="48" fillId="16" borderId="705" xfId="181" applyNumberFormat="1" applyFont="1" applyFill="1" applyBorder="1" applyAlignment="1" applyProtection="1">
      <alignment horizontal="left" vertical="center" wrapText="1"/>
      <protection locked="0"/>
    </xf>
    <xf numFmtId="49" fontId="40" fillId="16" borderId="686" xfId="181" applyNumberFormat="1" applyFont="1" applyFill="1" applyBorder="1" applyAlignment="1" applyProtection="1">
      <alignment horizontal="left" vertical="center" wrapText="1"/>
      <protection locked="0"/>
    </xf>
    <xf numFmtId="0" fontId="30" fillId="0" borderId="687" xfId="0" applyFont="1" applyBorder="1" applyAlignment="1">
      <alignment horizontal="left" vertical="center" wrapText="1"/>
    </xf>
    <xf numFmtId="49" fontId="10" fillId="16" borderId="680" xfId="181" applyNumberFormat="1" applyFont="1" applyFill="1" applyBorder="1" applyAlignment="1" applyProtection="1">
      <alignment horizontal="left" vertical="center" wrapText="1"/>
      <protection locked="0"/>
    </xf>
    <xf numFmtId="0" fontId="1" fillId="0" borderId="681" xfId="0" applyFont="1" applyBorder="1" applyAlignment="1">
      <alignment horizontal="left" vertical="center" wrapText="1"/>
    </xf>
    <xf numFmtId="49" fontId="53" fillId="16" borderId="651" xfId="181" applyNumberFormat="1" applyFont="1" applyFill="1" applyBorder="1" applyAlignment="1" applyProtection="1">
      <alignment horizontal="left" vertical="center" wrapText="1"/>
      <protection locked="0"/>
    </xf>
    <xf numFmtId="49" fontId="40" fillId="0" borderId="604" xfId="181" applyNumberFormat="1" applyFont="1" applyFill="1" applyBorder="1" applyAlignment="1" applyProtection="1">
      <alignment horizontal="left" vertical="center" wrapText="1"/>
      <protection locked="0"/>
    </xf>
    <xf numFmtId="49" fontId="40" fillId="0" borderId="692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693" xfId="181" applyNumberFormat="1" applyFont="1" applyFill="1" applyBorder="1" applyAlignment="1" applyProtection="1">
      <alignment horizontal="left" vertical="center" wrapText="1"/>
      <protection locked="0"/>
    </xf>
    <xf numFmtId="49" fontId="44" fillId="16" borderId="651" xfId="181" applyNumberFormat="1" applyFont="1" applyFill="1" applyBorder="1" applyAlignment="1" applyProtection="1">
      <alignment horizontal="left" vertical="center" wrapText="1"/>
      <protection locked="0"/>
    </xf>
    <xf numFmtId="0" fontId="86" fillId="0" borderId="651" xfId="0" applyFont="1" applyBorder="1" applyAlignment="1">
      <alignment horizontal="left" vertical="center" wrapText="1"/>
    </xf>
    <xf numFmtId="0" fontId="29" fillId="0" borderId="651" xfId="0" applyFont="1" applyBorder="1" applyAlignment="1">
      <alignment horizontal="left" vertical="center" wrapText="1"/>
    </xf>
    <xf numFmtId="49" fontId="40" fillId="0" borderId="581" xfId="181" applyNumberFormat="1" applyFont="1" applyFill="1" applyBorder="1" applyAlignment="1" applyProtection="1">
      <alignment horizontal="left" vertical="center" wrapText="1"/>
      <protection locked="0"/>
    </xf>
    <xf numFmtId="49" fontId="40" fillId="0" borderId="338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672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673" xfId="181" applyNumberFormat="1" applyFont="1" applyFill="1" applyBorder="1" applyAlignment="1" applyProtection="1">
      <alignment horizontal="left" vertical="center" wrapText="1"/>
      <protection locked="0"/>
    </xf>
    <xf numFmtId="49" fontId="59" fillId="16" borderId="672" xfId="181" applyNumberFormat="1" applyFont="1" applyFill="1" applyBorder="1" applyAlignment="1" applyProtection="1">
      <alignment horizontal="left" vertical="center" wrapText="1"/>
      <protection locked="0"/>
    </xf>
    <xf numFmtId="49" fontId="59" fillId="16" borderId="673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672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673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668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669" xfId="181" applyNumberFormat="1" applyFont="1" applyFill="1" applyBorder="1" applyAlignment="1" applyProtection="1">
      <alignment horizontal="center" vertical="center" wrapText="1"/>
      <protection locked="0"/>
    </xf>
    <xf numFmtId="49" fontId="27" fillId="16" borderId="651" xfId="181" applyNumberFormat="1" applyFont="1" applyFill="1" applyBorder="1" applyAlignment="1" applyProtection="1">
      <alignment horizontal="left" vertical="center" wrapText="1"/>
      <protection locked="0"/>
    </xf>
    <xf numFmtId="0" fontId="94" fillId="0" borderId="651" xfId="0" applyFont="1" applyBorder="1" applyAlignment="1">
      <alignment horizontal="left" vertical="center" wrapText="1"/>
    </xf>
    <xf numFmtId="49" fontId="15" fillId="16" borderId="651" xfId="181" applyNumberFormat="1" applyFont="1" applyFill="1" applyBorder="1" applyAlignment="1" applyProtection="1">
      <alignment horizontal="left" vertical="center" wrapText="1"/>
      <protection locked="0"/>
    </xf>
    <xf numFmtId="0" fontId="93" fillId="0" borderId="651" xfId="0" applyFont="1" applyBorder="1" applyAlignment="1">
      <alignment horizontal="left" vertical="center" wrapText="1"/>
    </xf>
    <xf numFmtId="49" fontId="40" fillId="0" borderId="149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651" xfId="181" applyNumberFormat="1" applyFont="1" applyFill="1" applyBorder="1" applyAlignment="1" applyProtection="1">
      <alignment horizontal="left" vertical="center" wrapText="1"/>
      <protection locked="0"/>
    </xf>
    <xf numFmtId="0" fontId="1" fillId="0" borderId="651" xfId="0" applyFont="1" applyBorder="1" applyAlignment="1">
      <alignment horizontal="left" vertical="center" wrapText="1"/>
    </xf>
    <xf numFmtId="49" fontId="10" fillId="16" borderId="33" xfId="181" applyNumberFormat="1" applyFont="1" applyFill="1" applyBorder="1" applyAlignment="1" applyProtection="1">
      <alignment horizontal="center" vertical="center" wrapText="1"/>
      <protection locked="0"/>
    </xf>
    <xf numFmtId="49" fontId="27" fillId="0" borderId="149" xfId="181" applyNumberFormat="1" applyFont="1" applyFill="1" applyBorder="1" applyAlignment="1" applyProtection="1">
      <alignment horizontal="left" vertical="center" wrapText="1"/>
      <protection locked="0"/>
    </xf>
    <xf numFmtId="49" fontId="10" fillId="21" borderId="660" xfId="181" applyNumberFormat="1" applyFont="1" applyFill="1" applyBorder="1" applyAlignment="1" applyProtection="1">
      <alignment horizontal="left" vertical="center" wrapText="1"/>
      <protection locked="0"/>
    </xf>
    <xf numFmtId="49" fontId="10" fillId="21" borderId="651" xfId="181" applyNumberFormat="1" applyFont="1" applyFill="1" applyBorder="1" applyAlignment="1" applyProtection="1">
      <alignment horizontal="left" vertical="center" wrapText="1"/>
      <protection locked="0"/>
    </xf>
    <xf numFmtId="0" fontId="1" fillId="0" borderId="3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9" fontId="40" fillId="16" borderId="149" xfId="181" applyNumberFormat="1" applyFont="1" applyFill="1" applyBorder="1" applyAlignment="1" applyProtection="1">
      <alignment horizontal="left" vertical="center" wrapText="1"/>
      <protection locked="0"/>
    </xf>
    <xf numFmtId="0" fontId="30" fillId="0" borderId="149" xfId="0" applyFont="1" applyBorder="1" applyAlignment="1">
      <alignment horizontal="left" vertical="center" wrapText="1"/>
    </xf>
    <xf numFmtId="49" fontId="10" fillId="16" borderId="0" xfId="18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49" fontId="40" fillId="16" borderId="651" xfId="181" applyNumberFormat="1" applyFont="1" applyFill="1" applyBorder="1" applyAlignment="1" applyProtection="1">
      <alignment horizontal="left" vertical="center" wrapText="1"/>
      <protection locked="0"/>
    </xf>
    <xf numFmtId="0" fontId="30" fillId="0" borderId="651" xfId="0" applyFont="1" applyBorder="1" applyAlignment="1">
      <alignment horizontal="left" vertical="center" wrapText="1"/>
    </xf>
    <xf numFmtId="49" fontId="15" fillId="16" borderId="411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511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411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511" xfId="181" applyNumberFormat="1" applyFont="1" applyFill="1" applyBorder="1" applyAlignment="1" applyProtection="1">
      <alignment horizontal="left" vertical="center" wrapText="1"/>
      <protection locked="0"/>
    </xf>
    <xf numFmtId="49" fontId="48" fillId="16" borderId="411" xfId="181" applyNumberFormat="1" applyFont="1" applyFill="1" applyBorder="1" applyAlignment="1" applyProtection="1">
      <alignment horizontal="left" vertical="center" wrapText="1"/>
      <protection locked="0"/>
    </xf>
    <xf numFmtId="0" fontId="65" fillId="0" borderId="511" xfId="0" applyFont="1" applyBorder="1" applyAlignment="1">
      <alignment horizontal="left" vertical="center" wrapText="1"/>
    </xf>
    <xf numFmtId="49" fontId="10" fillId="0" borderId="651" xfId="181" applyNumberFormat="1" applyFont="1" applyFill="1" applyBorder="1" applyAlignment="1" applyProtection="1">
      <alignment horizontal="left" vertical="center" wrapText="1"/>
      <protection locked="0"/>
    </xf>
    <xf numFmtId="49" fontId="59" fillId="16" borderId="651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572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616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617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627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628" xfId="181" applyNumberFormat="1" applyFont="1" applyFill="1" applyBorder="1" applyAlignment="1" applyProtection="1">
      <alignment horizontal="center" vertical="center" wrapText="1"/>
      <protection locked="0"/>
    </xf>
    <xf numFmtId="49" fontId="15" fillId="0" borderId="52" xfId="181" applyNumberFormat="1" applyFont="1" applyFill="1" applyBorder="1" applyAlignment="1" applyProtection="1">
      <alignment horizontal="left" vertical="center" wrapText="1"/>
      <protection locked="0"/>
    </xf>
    <xf numFmtId="49" fontId="27" fillId="16" borderId="547" xfId="181" applyNumberFormat="1" applyFont="1" applyFill="1" applyBorder="1" applyAlignment="1" applyProtection="1">
      <alignment horizontal="left" vertical="center" wrapText="1"/>
      <protection locked="0"/>
    </xf>
    <xf numFmtId="49" fontId="27" fillId="16" borderId="563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429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608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411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511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616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617" xfId="181" applyNumberFormat="1" applyFont="1" applyFill="1" applyBorder="1" applyAlignment="1" applyProtection="1">
      <alignment horizontal="left" vertical="center" wrapText="1"/>
      <protection locked="0"/>
    </xf>
    <xf numFmtId="0" fontId="48" fillId="0" borderId="616" xfId="181" applyNumberFormat="1" applyFont="1" applyFill="1" applyBorder="1" applyAlignment="1" applyProtection="1">
      <alignment horizontal="left" vertical="center"/>
      <protection locked="0"/>
    </xf>
    <xf numFmtId="0" fontId="48" fillId="0" borderId="617" xfId="181" applyNumberFormat="1" applyFont="1" applyFill="1" applyBorder="1" applyAlignment="1" applyProtection="1">
      <alignment horizontal="left" vertical="center"/>
      <protection locked="0"/>
    </xf>
    <xf numFmtId="49" fontId="48" fillId="16" borderId="571" xfId="181" applyNumberFormat="1" applyFont="1" applyFill="1" applyBorder="1" applyAlignment="1" applyProtection="1">
      <alignment horizontal="left" vertical="center" wrapText="1"/>
      <protection locked="0"/>
    </xf>
    <xf numFmtId="49" fontId="48" fillId="16" borderId="572" xfId="181" applyNumberFormat="1" applyFont="1" applyFill="1" applyBorder="1" applyAlignment="1" applyProtection="1">
      <alignment horizontal="left" vertical="center" wrapText="1"/>
      <protection locked="0"/>
    </xf>
    <xf numFmtId="49" fontId="27" fillId="16" borderId="574" xfId="181" applyNumberFormat="1" applyFont="1" applyFill="1" applyBorder="1" applyAlignment="1" applyProtection="1">
      <alignment horizontal="left" vertical="center" wrapText="1"/>
      <protection locked="0"/>
    </xf>
    <xf numFmtId="49" fontId="27" fillId="16" borderId="575" xfId="181" applyNumberFormat="1" applyFont="1" applyFill="1" applyBorder="1" applyAlignment="1" applyProtection="1">
      <alignment horizontal="left" vertical="center" wrapText="1"/>
      <protection locked="0"/>
    </xf>
    <xf numFmtId="49" fontId="40" fillId="0" borderId="605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574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575" xfId="181" applyNumberFormat="1" applyFont="1" applyFill="1" applyBorder="1" applyAlignment="1" applyProtection="1">
      <alignment horizontal="left" vertical="center" wrapText="1"/>
      <protection locked="0"/>
    </xf>
    <xf numFmtId="0" fontId="59" fillId="0" borderId="574" xfId="181" applyNumberFormat="1" applyFont="1" applyFill="1" applyBorder="1" applyAlignment="1" applyProtection="1">
      <alignment horizontal="left" vertical="center"/>
      <protection locked="0"/>
    </xf>
    <xf numFmtId="0" fontId="59" fillId="0" borderId="575" xfId="181" applyNumberFormat="1" applyFont="1" applyFill="1" applyBorder="1" applyAlignment="1" applyProtection="1">
      <alignment horizontal="left" vertical="center"/>
      <protection locked="0"/>
    </xf>
    <xf numFmtId="49" fontId="59" fillId="16" borderId="149" xfId="181" applyNumberFormat="1" applyFont="1" applyFill="1" applyBorder="1" applyAlignment="1" applyProtection="1">
      <alignment horizontal="left" vertical="center" wrapText="1"/>
      <protection locked="0"/>
    </xf>
    <xf numFmtId="49" fontId="40" fillId="16" borderId="593" xfId="181" applyNumberFormat="1" applyFont="1" applyFill="1" applyBorder="1" applyAlignment="1" applyProtection="1">
      <alignment horizontal="left" vertical="center" wrapText="1"/>
      <protection locked="0"/>
    </xf>
    <xf numFmtId="49" fontId="40" fillId="16" borderId="594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584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595" xfId="181" applyNumberFormat="1" applyFont="1" applyFill="1" applyBorder="1" applyAlignment="1" applyProtection="1">
      <alignment horizontal="left" vertical="center" wrapText="1"/>
      <protection locked="0"/>
    </xf>
    <xf numFmtId="49" fontId="59" fillId="16" borderId="593" xfId="181" applyNumberFormat="1" applyFont="1" applyFill="1" applyBorder="1" applyAlignment="1" applyProtection="1">
      <alignment horizontal="left" vertical="center" wrapText="1"/>
      <protection locked="0"/>
    </xf>
    <xf numFmtId="0" fontId="35" fillId="0" borderId="594" xfId="0" applyFont="1" applyBorder="1" applyAlignment="1">
      <alignment horizontal="left" vertical="center" wrapText="1"/>
    </xf>
    <xf numFmtId="49" fontId="15" fillId="0" borderId="31" xfId="181" applyNumberFormat="1" applyFont="1" applyFill="1" applyBorder="1" applyAlignment="1" applyProtection="1">
      <alignment horizontal="center" vertical="center" wrapText="1"/>
      <protection locked="0"/>
    </xf>
    <xf numFmtId="49" fontId="15" fillId="0" borderId="52" xfId="181" applyNumberFormat="1" applyFont="1" applyFill="1" applyBorder="1" applyAlignment="1" applyProtection="1">
      <alignment horizontal="center" vertical="center" wrapText="1"/>
      <protection locked="0"/>
    </xf>
    <xf numFmtId="49" fontId="15" fillId="0" borderId="34" xfId="181" applyNumberFormat="1" applyFont="1" applyFill="1" applyBorder="1" applyAlignment="1" applyProtection="1">
      <alignment horizontal="center" vertical="center" wrapText="1"/>
      <protection locked="0"/>
    </xf>
    <xf numFmtId="49" fontId="15" fillId="0" borderId="593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594" xfId="181" applyNumberFormat="1" applyFont="1" applyFill="1" applyBorder="1" applyAlignment="1" applyProtection="1">
      <alignment horizontal="left" vertical="center" wrapText="1"/>
      <protection locked="0"/>
    </xf>
    <xf numFmtId="0" fontId="48" fillId="0" borderId="593" xfId="181" applyNumberFormat="1" applyFont="1" applyFill="1" applyBorder="1" applyAlignment="1" applyProtection="1">
      <alignment horizontal="left" vertical="center"/>
      <protection locked="0"/>
    </xf>
    <xf numFmtId="0" fontId="48" fillId="0" borderId="594" xfId="181" applyNumberFormat="1" applyFont="1" applyFill="1" applyBorder="1" applyAlignment="1" applyProtection="1">
      <alignment horizontal="left" vertical="center"/>
      <protection locked="0"/>
    </xf>
    <xf numFmtId="49" fontId="48" fillId="16" borderId="593" xfId="181" applyNumberFormat="1" applyFont="1" applyFill="1" applyBorder="1" applyAlignment="1" applyProtection="1">
      <alignment horizontal="left" vertical="center" wrapText="1"/>
      <protection locked="0"/>
    </xf>
    <xf numFmtId="49" fontId="48" fillId="16" borderId="594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507" xfId="181" applyNumberFormat="1" applyFont="1" applyFill="1" applyBorder="1" applyAlignment="1" applyProtection="1">
      <alignment horizontal="left" vertical="center" wrapText="1"/>
      <protection locked="0"/>
    </xf>
    <xf numFmtId="0" fontId="59" fillId="0" borderId="507" xfId="181" applyNumberFormat="1" applyFont="1" applyFill="1" applyBorder="1" applyAlignment="1" applyProtection="1">
      <alignment horizontal="left" vertical="center"/>
      <protection locked="0"/>
    </xf>
    <xf numFmtId="49" fontId="59" fillId="0" borderId="0" xfId="181" applyNumberFormat="1" applyFont="1" applyFill="1" applyBorder="1" applyAlignment="1" applyProtection="1">
      <alignment horizontal="left" vertical="center" wrapText="1"/>
      <protection locked="0"/>
    </xf>
    <xf numFmtId="49" fontId="59" fillId="0" borderId="149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571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572" xfId="181" applyNumberFormat="1" applyFont="1" applyFill="1" applyBorder="1" applyAlignment="1" applyProtection="1">
      <alignment horizontal="left" vertical="center" wrapText="1"/>
      <protection locked="0"/>
    </xf>
    <xf numFmtId="0" fontId="35" fillId="0" borderId="149" xfId="0" applyFont="1" applyBorder="1" applyAlignment="1">
      <alignment horizontal="left" vertical="center" wrapText="1"/>
    </xf>
    <xf numFmtId="49" fontId="44" fillId="0" borderId="149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564" xfId="181" applyNumberFormat="1" applyFont="1" applyFill="1" applyBorder="1" applyAlignment="1" applyProtection="1">
      <alignment horizontal="left" vertical="center" wrapText="1"/>
      <protection locked="0"/>
    </xf>
    <xf numFmtId="0" fontId="59" fillId="0" borderId="519" xfId="181" applyNumberFormat="1" applyFont="1" applyFill="1" applyBorder="1" applyAlignment="1" applyProtection="1">
      <alignment horizontal="left" vertical="center"/>
      <protection locked="0"/>
    </xf>
    <xf numFmtId="49" fontId="59" fillId="16" borderId="140" xfId="181" applyNumberFormat="1" applyFont="1" applyFill="1" applyBorder="1" applyAlignment="1" applyProtection="1">
      <alignment horizontal="left" vertical="center" wrapText="1"/>
      <protection locked="0"/>
    </xf>
    <xf numFmtId="49" fontId="59" fillId="16" borderId="156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539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11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5" xfId="181" applyNumberFormat="1" applyFont="1" applyFill="1" applyBorder="1" applyAlignment="1" applyProtection="1">
      <alignment horizontal="left" vertical="center" wrapText="1"/>
      <protection locked="0"/>
    </xf>
    <xf numFmtId="49" fontId="40" fillId="16" borderId="507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507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199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411" xfId="181" applyNumberFormat="1" applyFont="1" applyFill="1" applyBorder="1" applyAlignment="1" applyProtection="1">
      <alignment horizontal="center" vertical="center" wrapText="1"/>
      <protection locked="0"/>
    </xf>
    <xf numFmtId="49" fontId="53" fillId="16" borderId="495" xfId="181" applyNumberFormat="1" applyFont="1" applyFill="1" applyBorder="1" applyAlignment="1" applyProtection="1">
      <alignment horizontal="center" vertical="center" wrapText="1"/>
      <protection locked="0"/>
    </xf>
    <xf numFmtId="49" fontId="44" fillId="21" borderId="411" xfId="181" applyNumberFormat="1" applyFont="1" applyFill="1" applyBorder="1" applyAlignment="1" applyProtection="1">
      <alignment horizontal="left" vertical="center" wrapText="1"/>
      <protection locked="0"/>
    </xf>
    <xf numFmtId="49" fontId="44" fillId="21" borderId="492" xfId="181" applyNumberFormat="1" applyFont="1" applyFill="1" applyBorder="1" applyAlignment="1" applyProtection="1">
      <alignment horizontal="left" vertical="center" wrapText="1"/>
      <protection locked="0"/>
    </xf>
    <xf numFmtId="49" fontId="53" fillId="21" borderId="496" xfId="181" applyNumberFormat="1" applyFont="1" applyFill="1" applyBorder="1" applyAlignment="1" applyProtection="1">
      <alignment horizontal="left" vertical="center" wrapText="1"/>
      <protection locked="0"/>
    </xf>
    <xf numFmtId="49" fontId="53" fillId="21" borderId="514" xfId="181" applyNumberFormat="1" applyFont="1" applyFill="1" applyBorder="1" applyAlignment="1" applyProtection="1">
      <alignment horizontal="left" vertical="center" wrapText="1"/>
      <protection locked="0"/>
    </xf>
    <xf numFmtId="49" fontId="40" fillId="16" borderId="199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519" xfId="181" applyNumberFormat="1" applyFont="1" applyFill="1" applyBorder="1" applyAlignment="1" applyProtection="1">
      <alignment horizontal="left" vertical="center" wrapText="1"/>
      <protection locked="0"/>
    </xf>
    <xf numFmtId="49" fontId="52" fillId="16" borderId="507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507" xfId="181" applyNumberFormat="1" applyFont="1" applyFill="1" applyBorder="1" applyAlignment="1" applyProtection="1">
      <alignment horizontal="left" vertical="center" wrapText="1"/>
      <protection locked="0"/>
    </xf>
    <xf numFmtId="49" fontId="40" fillId="0" borderId="199" xfId="181" applyNumberFormat="1" applyFont="1" applyFill="1" applyBorder="1" applyAlignment="1" applyProtection="1">
      <alignment horizontal="left" vertical="center" wrapText="1"/>
      <protection locked="0"/>
    </xf>
    <xf numFmtId="49" fontId="59" fillId="16" borderId="507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490" xfId="181" applyNumberFormat="1" applyFont="1" applyFill="1" applyBorder="1" applyAlignment="1" applyProtection="1">
      <alignment horizontal="center" vertical="center" wrapText="1"/>
      <protection locked="0"/>
    </xf>
    <xf numFmtId="49" fontId="27" fillId="21" borderId="277" xfId="181" applyNumberFormat="1" applyFont="1" applyFill="1" applyBorder="1" applyAlignment="1" applyProtection="1">
      <alignment horizontal="left" vertical="center" wrapText="1"/>
      <protection locked="0"/>
    </xf>
    <xf numFmtId="49" fontId="27" fillId="21" borderId="21" xfId="181" applyNumberFormat="1" applyFont="1" applyFill="1" applyBorder="1" applyAlignment="1" applyProtection="1">
      <alignment horizontal="left" vertical="center" wrapText="1"/>
      <protection locked="0"/>
    </xf>
    <xf numFmtId="49" fontId="15" fillId="21" borderId="496" xfId="181" applyNumberFormat="1" applyFont="1" applyFill="1" applyBorder="1" applyAlignment="1" applyProtection="1">
      <alignment horizontal="left" vertical="center" wrapText="1"/>
      <protection locked="0"/>
    </xf>
    <xf numFmtId="49" fontId="15" fillId="21" borderId="497" xfId="181" applyNumberFormat="1" applyFont="1" applyFill="1" applyBorder="1" applyAlignment="1" applyProtection="1">
      <alignment horizontal="left" vertical="center" wrapText="1"/>
      <protection locked="0"/>
    </xf>
    <xf numFmtId="49" fontId="48" fillId="16" borderId="433" xfId="181" applyNumberFormat="1" applyFont="1" applyFill="1" applyBorder="1" applyAlignment="1" applyProtection="1">
      <alignment horizontal="left" vertical="center" wrapText="1"/>
      <protection locked="0"/>
    </xf>
    <xf numFmtId="0" fontId="65" fillId="0" borderId="433" xfId="0" applyFont="1" applyBorder="1" applyAlignment="1">
      <alignment horizontal="left" vertical="center" wrapText="1"/>
    </xf>
    <xf numFmtId="49" fontId="10" fillId="0" borderId="433" xfId="181" applyNumberFormat="1" applyFont="1" applyFill="1" applyBorder="1" applyAlignment="1" applyProtection="1">
      <alignment horizontal="left" vertical="center" wrapText="1"/>
      <protection locked="0"/>
    </xf>
    <xf numFmtId="0" fontId="59" fillId="0" borderId="433" xfId="181" applyNumberFormat="1" applyFont="1" applyFill="1" applyBorder="1" applyAlignment="1" applyProtection="1">
      <alignment horizontal="left" vertical="center"/>
      <protection locked="0"/>
    </xf>
    <xf numFmtId="49" fontId="27" fillId="0" borderId="478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433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433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437" xfId="181" applyNumberFormat="1" applyFont="1" applyFill="1" applyBorder="1" applyAlignment="1" applyProtection="1">
      <alignment horizontal="left" vertical="center" wrapText="1"/>
      <protection locked="0"/>
    </xf>
    <xf numFmtId="49" fontId="27" fillId="0" borderId="30" xfId="181" applyNumberFormat="1" applyFont="1" applyFill="1" applyBorder="1" applyAlignment="1" applyProtection="1">
      <alignment horizontal="center" vertical="center" wrapText="1"/>
      <protection locked="0"/>
    </xf>
    <xf numFmtId="49" fontId="27" fillId="0" borderId="39" xfId="181" applyNumberFormat="1" applyFont="1" applyFill="1" applyBorder="1" applyAlignment="1" applyProtection="1">
      <alignment horizontal="center" vertical="center" wrapText="1"/>
      <protection locked="0"/>
    </xf>
    <xf numFmtId="49" fontId="27" fillId="0" borderId="33" xfId="181" applyNumberFormat="1" applyFont="1" applyFill="1" applyBorder="1" applyAlignment="1" applyProtection="1">
      <alignment horizontal="center" vertical="center" wrapText="1"/>
      <protection locked="0"/>
    </xf>
    <xf numFmtId="49" fontId="27" fillId="0" borderId="133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381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377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418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459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460" xfId="181" applyNumberFormat="1" applyFont="1" applyFill="1" applyBorder="1" applyAlignment="1" applyProtection="1">
      <alignment horizontal="left" vertical="center" wrapText="1"/>
      <protection locked="0"/>
    </xf>
    <xf numFmtId="49" fontId="27" fillId="16" borderId="457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446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447" xfId="181" applyNumberFormat="1" applyFont="1" applyFill="1" applyBorder="1" applyAlignment="1" applyProtection="1">
      <alignment horizontal="center" vertical="center" wrapText="1"/>
      <protection locked="0"/>
    </xf>
    <xf numFmtId="49" fontId="27" fillId="0" borderId="457" xfId="181" applyNumberFormat="1" applyFont="1" applyFill="1" applyBorder="1" applyAlignment="1" applyProtection="1">
      <alignment horizontal="left" vertical="center" wrapText="1"/>
      <protection locked="0"/>
    </xf>
    <xf numFmtId="49" fontId="27" fillId="16" borderId="411" xfId="181" applyNumberFormat="1" applyFont="1" applyFill="1" applyBorder="1" applyAlignment="1" applyProtection="1">
      <alignment horizontal="left" vertical="center" wrapText="1"/>
      <protection locked="0"/>
    </xf>
    <xf numFmtId="49" fontId="27" fillId="16" borderId="394" xfId="181" applyNumberFormat="1" applyFont="1" applyFill="1" applyBorder="1" applyAlignment="1" applyProtection="1">
      <alignment horizontal="left" vertical="center" wrapText="1"/>
      <protection locked="0"/>
    </xf>
    <xf numFmtId="49" fontId="27" fillId="0" borderId="4" xfId="181" applyNumberFormat="1" applyFont="1" applyFill="1" applyBorder="1" applyAlignment="1" applyProtection="1">
      <alignment horizontal="left" vertical="center" wrapText="1"/>
      <protection locked="0"/>
    </xf>
    <xf numFmtId="49" fontId="27" fillId="0" borderId="453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455" xfId="181" applyNumberFormat="1" applyFont="1" applyFill="1" applyBorder="1" applyAlignment="1" applyProtection="1">
      <alignment horizontal="left" vertical="center" wrapText="1"/>
      <protection locked="0"/>
    </xf>
    <xf numFmtId="49" fontId="27" fillId="0" borderId="448" xfId="181" applyNumberFormat="1" applyFont="1" applyFill="1" applyBorder="1" applyAlignment="1" applyProtection="1">
      <alignment horizontal="left" vertical="center" wrapText="1"/>
      <protection locked="0"/>
    </xf>
    <xf numFmtId="49" fontId="27" fillId="16" borderId="446" xfId="181" applyNumberFormat="1" applyFont="1" applyFill="1" applyBorder="1" applyAlignment="1" applyProtection="1">
      <alignment horizontal="left" vertical="center" wrapText="1"/>
      <protection locked="0"/>
    </xf>
    <xf numFmtId="49" fontId="27" fillId="16" borderId="447" xfId="181" applyNumberFormat="1" applyFont="1" applyFill="1" applyBorder="1" applyAlignment="1" applyProtection="1">
      <alignment horizontal="left" vertical="center" wrapText="1"/>
      <protection locked="0"/>
    </xf>
    <xf numFmtId="49" fontId="27" fillId="0" borderId="428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430" xfId="181" applyNumberFormat="1" applyFont="1" applyFill="1" applyBorder="1" applyAlignment="1" applyProtection="1">
      <alignment horizontal="left" vertical="center" wrapText="1"/>
      <protection locked="0"/>
    </xf>
    <xf numFmtId="49" fontId="27" fillId="0" borderId="355" xfId="181" applyNumberFormat="1" applyFont="1" applyFill="1" applyBorder="1" applyAlignment="1" applyProtection="1">
      <alignment horizontal="left" vertical="center" wrapText="1"/>
      <protection locked="0"/>
    </xf>
    <xf numFmtId="0" fontId="48" fillId="0" borderId="433" xfId="181" applyNumberFormat="1" applyFont="1" applyFill="1" applyBorder="1" applyAlignment="1" applyProtection="1">
      <alignment horizontal="left" vertical="center"/>
      <protection locked="0"/>
    </xf>
    <xf numFmtId="49" fontId="48" fillId="16" borderId="355" xfId="181" applyNumberFormat="1" applyFont="1" applyFill="1" applyBorder="1" applyAlignment="1" applyProtection="1">
      <alignment horizontal="left" vertical="center" wrapText="1"/>
      <protection locked="0"/>
    </xf>
    <xf numFmtId="0" fontId="48" fillId="0" borderId="397" xfId="181" applyNumberFormat="1" applyFont="1" applyFill="1" applyBorder="1" applyAlignment="1" applyProtection="1">
      <alignment horizontal="left" vertical="center"/>
      <protection locked="0"/>
    </xf>
    <xf numFmtId="49" fontId="48" fillId="16" borderId="397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366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417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421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422" xfId="181" applyNumberFormat="1" applyFont="1" applyFill="1" applyBorder="1" applyAlignment="1" applyProtection="1">
      <alignment horizontal="center" vertical="center" wrapText="1"/>
      <protection locked="0"/>
    </xf>
    <xf numFmtId="49" fontId="27" fillId="16" borderId="423" xfId="181" applyNumberFormat="1" applyFont="1" applyFill="1" applyBorder="1" applyAlignment="1" applyProtection="1">
      <alignment horizontal="left" vertical="center" wrapText="1"/>
      <protection locked="0"/>
    </xf>
    <xf numFmtId="0" fontId="94" fillId="0" borderId="424" xfId="0" applyFont="1" applyBorder="1" applyAlignment="1">
      <alignment horizontal="left" vertical="center" wrapText="1"/>
    </xf>
    <xf numFmtId="49" fontId="15" fillId="16" borderId="369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370" xfId="181" applyNumberFormat="1" applyFont="1" applyFill="1" applyBorder="1" applyAlignment="1" applyProtection="1">
      <alignment horizontal="left" vertical="center" wrapText="1"/>
      <protection locked="0"/>
    </xf>
    <xf numFmtId="49" fontId="27" fillId="0" borderId="390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249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387" xfId="181" applyNumberFormat="1" applyFont="1" applyFill="1" applyBorder="1" applyAlignment="1" applyProtection="1">
      <alignment horizontal="left" vertical="center" wrapText="1"/>
      <protection locked="0"/>
    </xf>
    <xf numFmtId="49" fontId="27" fillId="16" borderId="66" xfId="181" applyNumberFormat="1" applyFont="1" applyFill="1" applyBorder="1" applyAlignment="1" applyProtection="1">
      <alignment horizontal="left" vertical="center" wrapText="1"/>
      <protection locked="0"/>
    </xf>
    <xf numFmtId="49" fontId="27" fillId="16" borderId="325" xfId="181" applyNumberFormat="1" applyFont="1" applyFill="1" applyBorder="1" applyAlignment="1" applyProtection="1">
      <alignment horizontal="left" vertical="center" wrapText="1"/>
      <protection locked="0"/>
    </xf>
    <xf numFmtId="0" fontId="93" fillId="0" borderId="382" xfId="0" applyFont="1" applyBorder="1" applyAlignment="1">
      <alignment horizontal="left" vertical="center" wrapText="1"/>
    </xf>
    <xf numFmtId="49" fontId="27" fillId="0" borderId="311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397" xfId="181" applyNumberFormat="1" applyFont="1" applyFill="1" applyBorder="1" applyAlignment="1" applyProtection="1">
      <alignment horizontal="left" vertical="center" wrapText="1"/>
      <protection locked="0"/>
    </xf>
    <xf numFmtId="49" fontId="27" fillId="0" borderId="203" xfId="181" applyNumberFormat="1" applyFont="1" applyFill="1" applyBorder="1" applyAlignment="1" applyProtection="1">
      <alignment horizontal="left" vertical="center" wrapText="1"/>
      <protection locked="0"/>
    </xf>
    <xf numFmtId="49" fontId="27" fillId="0" borderId="134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369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370" xfId="181" applyNumberFormat="1" applyFont="1" applyFill="1" applyBorder="1" applyAlignment="1" applyProtection="1">
      <alignment horizontal="left" vertical="center" wrapText="1"/>
      <protection locked="0"/>
    </xf>
    <xf numFmtId="49" fontId="48" fillId="16" borderId="369" xfId="181" applyNumberFormat="1" applyFont="1" applyFill="1" applyBorder="1" applyAlignment="1" applyProtection="1">
      <alignment horizontal="left" vertical="center" wrapText="1"/>
      <protection locked="0"/>
    </xf>
    <xf numFmtId="49" fontId="48" fillId="16" borderId="370" xfId="181" applyNumberFormat="1" applyFont="1" applyFill="1" applyBorder="1" applyAlignment="1" applyProtection="1">
      <alignment horizontal="left" vertical="center" wrapText="1"/>
      <protection locked="0"/>
    </xf>
    <xf numFmtId="49" fontId="27" fillId="16" borderId="211" xfId="181" applyNumberFormat="1" applyFont="1" applyFill="1" applyBorder="1" applyAlignment="1" applyProtection="1">
      <alignment horizontal="left" vertical="center" wrapText="1"/>
      <protection locked="0"/>
    </xf>
    <xf numFmtId="49" fontId="27" fillId="16" borderId="380" xfId="181" applyNumberFormat="1" applyFont="1" applyFill="1" applyBorder="1" applyAlignment="1" applyProtection="1">
      <alignment horizontal="left" vertical="center" wrapText="1"/>
      <protection locked="0"/>
    </xf>
    <xf numFmtId="49" fontId="15" fillId="21" borderId="358" xfId="181" applyNumberFormat="1" applyFont="1" applyFill="1" applyBorder="1" applyAlignment="1" applyProtection="1">
      <alignment horizontal="center" vertical="center" wrapText="1"/>
      <protection locked="0"/>
    </xf>
    <xf numFmtId="49" fontId="15" fillId="21" borderId="353" xfId="181" applyNumberFormat="1" applyFont="1" applyFill="1" applyBorder="1" applyAlignment="1" applyProtection="1">
      <alignment horizontal="center" vertical="center" wrapText="1"/>
      <protection locked="0"/>
    </xf>
    <xf numFmtId="49" fontId="48" fillId="16" borderId="0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362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366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355" xfId="181" applyNumberFormat="1" applyFont="1" applyFill="1" applyBorder="1" applyAlignment="1" applyProtection="1">
      <alignment horizontal="left" vertical="center" wrapText="1"/>
      <protection locked="0"/>
    </xf>
    <xf numFmtId="49" fontId="27" fillId="16" borderId="312" xfId="181" applyNumberFormat="1" applyFont="1" applyFill="1" applyBorder="1" applyAlignment="1" applyProtection="1">
      <alignment horizontal="left" vertical="center" wrapText="1"/>
      <protection locked="0"/>
    </xf>
    <xf numFmtId="49" fontId="27" fillId="16" borderId="21" xfId="181" applyNumberFormat="1" applyFont="1" applyFill="1" applyBorder="1" applyAlignment="1" applyProtection="1">
      <alignment horizontal="left" vertical="center" wrapText="1"/>
      <protection locked="0"/>
    </xf>
    <xf numFmtId="0" fontId="93" fillId="0" borderId="252" xfId="0" applyFont="1" applyBorder="1" applyAlignment="1">
      <alignment horizontal="left" vertical="center" wrapText="1"/>
    </xf>
    <xf numFmtId="49" fontId="15" fillId="16" borderId="347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348" xfId="181" applyNumberFormat="1" applyFont="1" applyFill="1" applyBorder="1" applyAlignment="1" applyProtection="1">
      <alignment horizontal="center" vertical="center" wrapText="1"/>
      <protection locked="0"/>
    </xf>
    <xf numFmtId="49" fontId="27" fillId="16" borderId="314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311" xfId="181" applyNumberFormat="1" applyFont="1" applyFill="1" applyBorder="1" applyAlignment="1" applyProtection="1">
      <alignment horizontal="left" vertical="center" wrapText="1"/>
      <protection locked="0"/>
    </xf>
    <xf numFmtId="49" fontId="27" fillId="21" borderId="311" xfId="181" applyNumberFormat="1" applyFont="1" applyFill="1" applyBorder="1" applyAlignment="1" applyProtection="1">
      <alignment horizontal="left" vertical="center" wrapText="1"/>
      <protection locked="0"/>
    </xf>
    <xf numFmtId="0" fontId="93" fillId="0" borderId="311" xfId="0" applyFont="1" applyBorder="1" applyAlignment="1">
      <alignment horizontal="left" vertical="center" wrapText="1"/>
    </xf>
    <xf numFmtId="49" fontId="15" fillId="21" borderId="340" xfId="181" applyNumberFormat="1" applyFont="1" applyFill="1" applyBorder="1" applyAlignment="1" applyProtection="1">
      <alignment horizontal="left" vertical="center" wrapText="1"/>
      <protection locked="0"/>
    </xf>
    <xf numFmtId="0" fontId="93" fillId="0" borderId="340" xfId="0" applyFont="1" applyBorder="1" applyAlignment="1">
      <alignment horizontal="left" vertical="center" wrapText="1"/>
    </xf>
    <xf numFmtId="0" fontId="48" fillId="0" borderId="340" xfId="181" applyNumberFormat="1" applyFont="1" applyFill="1" applyBorder="1" applyAlignment="1" applyProtection="1">
      <alignment horizontal="left" vertical="center"/>
      <protection locked="0"/>
    </xf>
    <xf numFmtId="49" fontId="10" fillId="16" borderId="249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252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340" xfId="181" applyNumberFormat="1" applyFont="1" applyFill="1" applyBorder="1" applyAlignment="1" applyProtection="1">
      <alignment horizontal="left" vertical="center" wrapText="1"/>
      <protection locked="0"/>
    </xf>
    <xf numFmtId="49" fontId="48" fillId="16" borderId="340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133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321" xfId="181" applyNumberFormat="1" applyFont="1" applyFill="1" applyBorder="1" applyAlignment="1" applyProtection="1">
      <alignment horizontal="left" vertical="center" wrapText="1"/>
      <protection locked="0"/>
    </xf>
    <xf numFmtId="0" fontId="1" fillId="0" borderId="322" xfId="0" applyFont="1" applyBorder="1" applyAlignment="1">
      <alignment horizontal="left" vertical="center" wrapText="1"/>
    </xf>
    <xf numFmtId="49" fontId="10" fillId="0" borderId="31" xfId="181" applyNumberFormat="1" applyFont="1" applyFill="1" applyBorder="1" applyAlignment="1" applyProtection="1">
      <alignment horizontal="center" vertical="center" wrapText="1"/>
      <protection locked="0"/>
    </xf>
    <xf numFmtId="49" fontId="10" fillId="0" borderId="52" xfId="181" applyNumberFormat="1" applyFont="1" applyFill="1" applyBorder="1" applyAlignment="1" applyProtection="1">
      <alignment horizontal="center" vertical="center" wrapText="1"/>
      <protection locked="0"/>
    </xf>
    <xf numFmtId="49" fontId="10" fillId="0" borderId="34" xfId="181" applyNumberFormat="1" applyFont="1" applyFill="1" applyBorder="1" applyAlignment="1" applyProtection="1">
      <alignment horizontal="center" vertical="center" wrapText="1"/>
      <protection locked="0"/>
    </xf>
    <xf numFmtId="49" fontId="40" fillId="0" borderId="66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321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322" xfId="181" applyNumberFormat="1" applyFont="1" applyFill="1" applyBorder="1" applyAlignment="1" applyProtection="1">
      <alignment horizontal="left" vertical="center" wrapText="1"/>
      <protection locked="0"/>
    </xf>
    <xf numFmtId="0" fontId="59" fillId="0" borderId="321" xfId="181" applyNumberFormat="1" applyFont="1" applyFill="1" applyBorder="1" applyAlignment="1" applyProtection="1">
      <alignment horizontal="left" vertical="center"/>
      <protection locked="0"/>
    </xf>
    <xf numFmtId="0" fontId="59" fillId="0" borderId="322" xfId="181" applyNumberFormat="1" applyFont="1" applyFill="1" applyBorder="1" applyAlignment="1" applyProtection="1">
      <alignment horizontal="left" vertical="center"/>
      <protection locked="0"/>
    </xf>
    <xf numFmtId="49" fontId="59" fillId="16" borderId="249" xfId="181" applyNumberFormat="1" applyFont="1" applyFill="1" applyBorder="1" applyAlignment="1" applyProtection="1">
      <alignment horizontal="left" vertical="center" wrapText="1"/>
      <protection locked="0"/>
    </xf>
    <xf numFmtId="49" fontId="59" fillId="16" borderId="252" xfId="181" applyNumberFormat="1" applyFont="1" applyFill="1" applyBorder="1" applyAlignment="1" applyProtection="1">
      <alignment horizontal="left" vertical="center" wrapText="1"/>
      <protection locked="0"/>
    </xf>
    <xf numFmtId="49" fontId="40" fillId="16" borderId="249" xfId="181" applyNumberFormat="1" applyFont="1" applyFill="1" applyBorder="1" applyAlignment="1" applyProtection="1">
      <alignment horizontal="left" vertical="center" wrapText="1"/>
      <protection locked="0"/>
    </xf>
    <xf numFmtId="49" fontId="40" fillId="16" borderId="252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249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252" xfId="181" applyNumberFormat="1" applyFont="1" applyFill="1" applyBorder="1" applyAlignment="1" applyProtection="1">
      <alignment horizontal="center" vertical="center" wrapText="1"/>
      <protection locked="0"/>
    </xf>
    <xf numFmtId="49" fontId="40" fillId="0" borderId="329" xfId="181" applyNumberFormat="1" applyFont="1" applyFill="1" applyBorder="1" applyAlignment="1" applyProtection="1">
      <alignment horizontal="left" vertical="center" wrapText="1"/>
      <protection locked="0"/>
    </xf>
    <xf numFmtId="49" fontId="40" fillId="0" borderId="330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331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332" xfId="181" applyNumberFormat="1" applyFont="1" applyFill="1" applyBorder="1" applyAlignment="1" applyProtection="1">
      <alignment horizontal="left" vertical="center" wrapText="1"/>
      <protection locked="0"/>
    </xf>
    <xf numFmtId="49" fontId="40" fillId="0" borderId="314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331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332" xfId="181" applyNumberFormat="1" applyFont="1" applyFill="1" applyBorder="1" applyAlignment="1" applyProtection="1">
      <alignment horizontal="left" vertical="center" wrapText="1"/>
      <protection locked="0"/>
    </xf>
    <xf numFmtId="49" fontId="40" fillId="16" borderId="21" xfId="181" applyNumberFormat="1" applyFont="1" applyFill="1" applyBorder="1" applyAlignment="1" applyProtection="1">
      <alignment horizontal="left" vertical="center" wrapText="1"/>
      <protection locked="0"/>
    </xf>
    <xf numFmtId="49" fontId="27" fillId="16" borderId="316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321" xfId="181" applyNumberFormat="1" applyFont="1" applyFill="1" applyBorder="1" applyAlignment="1" applyProtection="1">
      <alignment horizontal="left" vertical="center" wrapText="1"/>
      <protection locked="0"/>
    </xf>
    <xf numFmtId="0" fontId="93" fillId="0" borderId="322" xfId="0" applyFont="1" applyBorder="1" applyAlignment="1">
      <alignment horizontal="left" vertical="center" wrapText="1"/>
    </xf>
    <xf numFmtId="49" fontId="47" fillId="0" borderId="33" xfId="181" applyNumberFormat="1" applyFont="1" applyFill="1" applyBorder="1" applyAlignment="1" applyProtection="1">
      <alignment horizontal="center" vertical="center" wrapText="1"/>
      <protection locked="0"/>
    </xf>
    <xf numFmtId="49" fontId="27" fillId="0" borderId="241" xfId="181" applyNumberFormat="1" applyFont="1" applyFill="1" applyBorder="1" applyAlignment="1" applyProtection="1">
      <alignment horizontal="left" vertical="center" wrapText="1"/>
      <protection locked="0"/>
    </xf>
    <xf numFmtId="49" fontId="27" fillId="0" borderId="325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326" xfId="181" applyNumberFormat="1" applyFont="1" applyFill="1" applyBorder="1" applyAlignment="1" applyProtection="1">
      <alignment horizontal="left" vertical="center" wrapText="1"/>
      <protection locked="0"/>
    </xf>
    <xf numFmtId="49" fontId="27" fillId="0" borderId="264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282" xfId="181" applyNumberFormat="1" applyFont="1" applyFill="1" applyBorder="1" applyAlignment="1" applyProtection="1">
      <alignment horizontal="left" vertical="center" wrapText="1"/>
      <protection locked="0"/>
    </xf>
    <xf numFmtId="49" fontId="27" fillId="16" borderId="299" xfId="181" applyNumberFormat="1" applyFont="1" applyFill="1" applyBorder="1" applyAlignment="1" applyProtection="1">
      <alignment horizontal="left" vertical="center" wrapText="1"/>
      <protection locked="0"/>
    </xf>
    <xf numFmtId="49" fontId="27" fillId="16" borderId="300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302" xfId="181" applyNumberFormat="1" applyFont="1" applyFill="1" applyBorder="1" applyAlignment="1" applyProtection="1">
      <alignment horizontal="left" vertical="center" wrapText="1"/>
      <protection locked="0"/>
    </xf>
    <xf numFmtId="0" fontId="93" fillId="0" borderId="303" xfId="0" applyFont="1" applyBorder="1" applyAlignment="1">
      <alignment horizontal="left" vertical="center" wrapText="1"/>
    </xf>
    <xf numFmtId="49" fontId="44" fillId="16" borderId="311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315" xfId="181" applyNumberFormat="1" applyFont="1" applyFill="1" applyBorder="1" applyAlignment="1" applyProtection="1">
      <alignment horizontal="left" vertical="center" wrapText="1"/>
      <protection locked="0"/>
    </xf>
    <xf numFmtId="49" fontId="59" fillId="16" borderId="276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266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58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48" xfId="181" applyNumberFormat="1" applyFont="1" applyFill="1" applyBorder="1" applyAlignment="1" applyProtection="1">
      <alignment horizontal="left" vertical="center" wrapText="1"/>
      <protection locked="0"/>
    </xf>
    <xf numFmtId="49" fontId="40" fillId="16" borderId="276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282" xfId="181" applyNumberFormat="1" applyFont="1" applyFill="1" applyBorder="1" applyAlignment="1" applyProtection="1">
      <alignment horizontal="left" vertical="center" wrapText="1"/>
      <protection locked="0"/>
    </xf>
    <xf numFmtId="49" fontId="59" fillId="16" borderId="203" xfId="181" applyNumberFormat="1" applyFont="1" applyFill="1" applyBorder="1" applyAlignment="1" applyProtection="1">
      <alignment horizontal="left" vertical="center" wrapText="1"/>
      <protection locked="0"/>
    </xf>
    <xf numFmtId="0" fontId="35" fillId="0" borderId="133" xfId="0" applyFont="1" applyBorder="1" applyAlignment="1">
      <alignment horizontal="left" vertical="center" wrapText="1"/>
    </xf>
    <xf numFmtId="49" fontId="15" fillId="16" borderId="264" xfId="181" applyNumberFormat="1" applyFont="1" applyFill="1" applyBorder="1" applyAlignment="1" applyProtection="1">
      <alignment horizontal="left" vertical="center" wrapText="1"/>
      <protection locked="0"/>
    </xf>
    <xf numFmtId="49" fontId="52" fillId="16" borderId="266" xfId="181" applyNumberFormat="1" applyFont="1" applyFill="1" applyBorder="1" applyAlignment="1" applyProtection="1">
      <alignment horizontal="left" vertical="center" wrapText="1"/>
      <protection locked="0"/>
    </xf>
    <xf numFmtId="49" fontId="40" fillId="0" borderId="276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230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266" xfId="181" applyNumberFormat="1" applyFont="1" applyFill="1" applyBorder="1" applyAlignment="1" applyProtection="1">
      <alignment horizontal="left" vertical="center" wrapText="1"/>
      <protection locked="0"/>
    </xf>
    <xf numFmtId="0" fontId="59" fillId="0" borderId="230" xfId="181" applyNumberFormat="1" applyFont="1" applyFill="1" applyBorder="1" applyAlignment="1" applyProtection="1">
      <alignment horizontal="left" vertical="center"/>
      <protection locked="0"/>
    </xf>
    <xf numFmtId="0" fontId="59" fillId="0" borderId="266" xfId="181" applyNumberFormat="1" applyFont="1" applyFill="1" applyBorder="1" applyAlignment="1" applyProtection="1">
      <alignment horizontal="left" vertical="center"/>
      <protection locked="0"/>
    </xf>
    <xf numFmtId="49" fontId="10" fillId="16" borderId="230" xfId="181" applyNumberFormat="1" applyFont="1" applyFill="1" applyBorder="1" applyAlignment="1" applyProtection="1">
      <alignment horizontal="center" vertical="center" wrapText="1"/>
      <protection locked="0"/>
    </xf>
    <xf numFmtId="0" fontId="1" fillId="0" borderId="227" xfId="0" applyFont="1" applyBorder="1" applyAlignment="1">
      <alignment vertical="center" wrapText="1"/>
    </xf>
    <xf numFmtId="49" fontId="48" fillId="0" borderId="236" xfId="181" applyNumberFormat="1" applyFont="1" applyFill="1" applyBorder="1" applyAlignment="1" applyProtection="1">
      <alignment horizontal="left" vertical="center" wrapText="1"/>
      <protection locked="0"/>
    </xf>
    <xf numFmtId="0" fontId="65" fillId="0" borderId="227" xfId="0" applyFont="1" applyBorder="1" applyAlignment="1">
      <alignment horizontal="left" vertical="center" wrapText="1"/>
    </xf>
    <xf numFmtId="49" fontId="15" fillId="0" borderId="266" xfId="181" applyNumberFormat="1" applyFont="1" applyFill="1" applyBorder="1" applyAlignment="1" applyProtection="1">
      <alignment horizontal="left" vertical="center" wrapText="1"/>
      <protection locked="0"/>
    </xf>
    <xf numFmtId="49" fontId="48" fillId="16" borderId="266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269" xfId="181" applyNumberFormat="1" applyFont="1" applyFill="1" applyBorder="1" applyAlignment="1" applyProtection="1">
      <alignment horizontal="left" vertical="center" wrapText="1"/>
      <protection locked="0"/>
    </xf>
    <xf numFmtId="49" fontId="27" fillId="0" borderId="235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236" xfId="181" applyNumberFormat="1" applyFont="1" applyFill="1" applyBorder="1" applyAlignment="1" applyProtection="1">
      <alignment horizontal="left" vertical="center" wrapText="1"/>
      <protection locked="0"/>
    </xf>
    <xf numFmtId="49" fontId="48" fillId="16" borderId="236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242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243" xfId="181" applyNumberFormat="1" applyFont="1" applyFill="1" applyBorder="1" applyAlignment="1" applyProtection="1">
      <alignment horizontal="left" vertical="center" wrapText="1"/>
      <protection locked="0"/>
    </xf>
    <xf numFmtId="49" fontId="27" fillId="16" borderId="235" xfId="181" applyNumberFormat="1" applyFont="1" applyFill="1" applyBorder="1" applyAlignment="1" applyProtection="1">
      <alignment horizontal="left" vertical="center" wrapText="1"/>
      <protection locked="0"/>
    </xf>
    <xf numFmtId="49" fontId="27" fillId="16" borderId="225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236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227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224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225" xfId="181" applyNumberFormat="1" applyFont="1" applyFill="1" applyBorder="1" applyAlignment="1" applyProtection="1">
      <alignment horizontal="left" vertical="center" wrapText="1"/>
      <protection locked="0"/>
    </xf>
    <xf numFmtId="49" fontId="27" fillId="16" borderId="230" xfId="181" applyNumberFormat="1" applyFont="1" applyFill="1" applyBorder="1" applyAlignment="1" applyProtection="1">
      <alignment horizontal="left" vertical="center" wrapText="1"/>
      <protection locked="0"/>
    </xf>
    <xf numFmtId="49" fontId="27" fillId="16" borderId="227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230" xfId="181" applyNumberFormat="1" applyFont="1" applyFill="1" applyBorder="1" applyAlignment="1" applyProtection="1">
      <alignment horizontal="left" vertical="center" wrapText="1"/>
      <protection locked="0"/>
    </xf>
    <xf numFmtId="49" fontId="48" fillId="16" borderId="230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170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171" xfId="181" applyNumberFormat="1" applyFont="1" applyFill="1" applyBorder="1" applyAlignment="1" applyProtection="1">
      <alignment horizontal="left" vertical="center" wrapText="1"/>
      <protection locked="0"/>
    </xf>
    <xf numFmtId="49" fontId="10" fillId="0" borderId="175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182" xfId="181" applyNumberFormat="1" applyFont="1" applyFill="1" applyBorder="1" applyAlignment="1" applyProtection="1">
      <alignment horizontal="center" vertical="center" wrapText="1"/>
      <protection locked="0"/>
    </xf>
    <xf numFmtId="49" fontId="10" fillId="16" borderId="183" xfId="181" applyNumberFormat="1" applyFont="1" applyFill="1" applyBorder="1" applyAlignment="1" applyProtection="1">
      <alignment horizontal="center" vertical="center" wrapText="1"/>
      <protection locked="0"/>
    </xf>
    <xf numFmtId="49" fontId="40" fillId="16" borderId="133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186" xfId="181" applyNumberFormat="1" applyFont="1" applyFill="1" applyBorder="1" applyAlignment="1" applyProtection="1">
      <alignment horizontal="left" vertical="center" wrapText="1"/>
      <protection locked="0"/>
    </xf>
    <xf numFmtId="49" fontId="10" fillId="16" borderId="187" xfId="181" applyNumberFormat="1" applyFont="1" applyFill="1" applyBorder="1" applyAlignment="1" applyProtection="1">
      <alignment horizontal="left" vertical="center" wrapText="1"/>
      <protection locked="0"/>
    </xf>
    <xf numFmtId="49" fontId="44" fillId="16" borderId="88" xfId="181" applyNumberFormat="1" applyFont="1" applyFill="1" applyBorder="1" applyAlignment="1" applyProtection="1">
      <alignment horizontal="left" vertical="center" wrapText="1"/>
      <protection locked="0"/>
    </xf>
    <xf numFmtId="49" fontId="53" fillId="16" borderId="88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88" xfId="181" applyNumberFormat="1" applyFont="1" applyFill="1" applyBorder="1" applyAlignment="1" applyProtection="1">
      <alignment horizontal="left" vertical="center" wrapText="1"/>
      <protection locked="0"/>
    </xf>
    <xf numFmtId="49" fontId="48" fillId="0" borderId="88" xfId="181" applyNumberFormat="1" applyFont="1" applyFill="1" applyBorder="1" applyAlignment="1" applyProtection="1">
      <alignment vertical="center" wrapText="1"/>
      <protection locked="0"/>
    </xf>
    <xf numFmtId="0" fontId="65" fillId="0" borderId="88" xfId="0" applyFont="1" applyBorder="1" applyAlignment="1">
      <alignment vertical="center" wrapText="1"/>
    </xf>
    <xf numFmtId="49" fontId="15" fillId="0" borderId="151" xfId="181" applyNumberFormat="1" applyFont="1" applyFill="1" applyBorder="1" applyAlignment="1" applyProtection="1">
      <alignment horizontal="center" vertical="center" wrapText="1"/>
      <protection locked="0"/>
    </xf>
    <xf numFmtId="49" fontId="15" fillId="0" borderId="152" xfId="181" applyNumberFormat="1" applyFont="1" applyFill="1" applyBorder="1" applyAlignment="1" applyProtection="1">
      <alignment horizontal="center" vertical="center" wrapText="1"/>
      <protection locked="0"/>
    </xf>
    <xf numFmtId="49" fontId="15" fillId="0" borderId="206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207" xfId="181" applyNumberFormat="1" applyFont="1" applyFill="1" applyBorder="1" applyAlignment="1" applyProtection="1">
      <alignment horizontal="left" vertical="center" wrapText="1"/>
      <protection locked="0"/>
    </xf>
    <xf numFmtId="49" fontId="48" fillId="16" borderId="206" xfId="181" applyNumberFormat="1" applyFont="1" applyFill="1" applyBorder="1" applyAlignment="1" applyProtection="1">
      <alignment horizontal="left" vertical="center" wrapText="1"/>
      <protection locked="0"/>
    </xf>
    <xf numFmtId="49" fontId="48" fillId="16" borderId="207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147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76" xfId="181" applyNumberFormat="1" applyFont="1" applyFill="1" applyBorder="1" applyAlignment="1" applyProtection="1">
      <alignment horizontal="center" vertical="center" wrapText="1"/>
      <protection locked="0"/>
    </xf>
    <xf numFmtId="49" fontId="15" fillId="0" borderId="33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89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88" xfId="181" applyNumberFormat="1" applyFont="1" applyFill="1" applyBorder="1" applyAlignment="1" applyProtection="1">
      <alignment horizontal="center" vertical="center" wrapText="1"/>
      <protection locked="0"/>
    </xf>
    <xf numFmtId="49" fontId="27" fillId="16" borderId="88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88" xfId="181" applyNumberFormat="1" applyFont="1" applyFill="1" applyBorder="1" applyAlignment="1" applyProtection="1">
      <alignment horizontal="left" vertical="center" wrapText="1"/>
      <protection locked="0"/>
    </xf>
    <xf numFmtId="49" fontId="15" fillId="0" borderId="30" xfId="181" applyNumberFormat="1" applyFont="1" applyFill="1" applyBorder="1" applyAlignment="1" applyProtection="1">
      <alignment horizontal="center" vertical="center" wrapText="1"/>
      <protection locked="0"/>
    </xf>
    <xf numFmtId="49" fontId="15" fillId="0" borderId="90" xfId="181" applyNumberFormat="1" applyFont="1" applyFill="1" applyBorder="1" applyAlignment="1" applyProtection="1">
      <alignment horizontal="left" vertical="center" wrapText="1"/>
      <protection locked="0"/>
    </xf>
    <xf numFmtId="0" fontId="48" fillId="0" borderId="88" xfId="181" applyNumberFormat="1" applyFont="1" applyFill="1" applyBorder="1" applyAlignment="1" applyProtection="1">
      <alignment horizontal="left" vertical="center"/>
      <protection locked="0"/>
    </xf>
    <xf numFmtId="49" fontId="48" fillId="16" borderId="88" xfId="181" applyNumberFormat="1" applyFont="1" applyFill="1" applyBorder="1" applyAlignment="1" applyProtection="1">
      <alignment horizontal="left" vertical="center" wrapText="1"/>
      <protection locked="0"/>
    </xf>
    <xf numFmtId="0" fontId="88" fillId="0" borderId="0" xfId="181" applyNumberFormat="1" applyFont="1" applyFill="1" applyBorder="1" applyAlignment="1" applyProtection="1">
      <alignment horizontal="center" vertical="center" wrapText="1"/>
      <protection locked="0"/>
    </xf>
    <xf numFmtId="49" fontId="15" fillId="0" borderId="79" xfId="181" applyNumberFormat="1" applyFont="1" applyFill="1" applyBorder="1" applyAlignment="1" applyProtection="1">
      <alignment horizontal="left" vertical="center" wrapText="1"/>
      <protection locked="0"/>
    </xf>
    <xf numFmtId="0" fontId="48" fillId="0" borderId="79" xfId="181" applyNumberFormat="1" applyFont="1" applyFill="1" applyBorder="1" applyAlignment="1" applyProtection="1">
      <alignment horizontal="left" vertical="center"/>
      <protection locked="0"/>
    </xf>
    <xf numFmtId="49" fontId="48" fillId="16" borderId="89" xfId="181" applyNumberFormat="1" applyFont="1" applyFill="1" applyBorder="1" applyAlignment="1" applyProtection="1">
      <alignment horizontal="left" vertical="center" wrapText="1"/>
      <protection locked="0"/>
    </xf>
    <xf numFmtId="49" fontId="48" fillId="16" borderId="90" xfId="181" applyNumberFormat="1" applyFont="1" applyFill="1" applyBorder="1" applyAlignment="1" applyProtection="1">
      <alignment horizontal="left" vertical="center" wrapText="1"/>
      <protection locked="0"/>
    </xf>
    <xf numFmtId="49" fontId="48" fillId="16" borderId="115" xfId="181" applyNumberFormat="1" applyFont="1" applyFill="1" applyBorder="1" applyAlignment="1" applyProtection="1">
      <alignment horizontal="left" vertical="center" wrapText="1"/>
      <protection locked="0"/>
    </xf>
    <xf numFmtId="49" fontId="15" fillId="16" borderId="120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121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86" xfId="181" applyNumberFormat="1" applyFont="1" applyFill="1" applyBorder="1" applyAlignment="1" applyProtection="1">
      <alignment horizontal="center" vertical="center" wrapText="1"/>
      <protection locked="0"/>
    </xf>
    <xf numFmtId="49" fontId="15" fillId="16" borderId="22" xfId="181" applyNumberFormat="1" applyFont="1" applyFill="1" applyBorder="1" applyAlignment="1" applyProtection="1">
      <alignment horizontal="center" vertical="center" wrapText="1"/>
      <protection locked="0"/>
    </xf>
    <xf numFmtId="49" fontId="27" fillId="16" borderId="98" xfId="181" applyNumberFormat="1" applyFont="1" applyFill="1" applyBorder="1" applyAlignment="1" applyProtection="1">
      <alignment horizontal="left" vertical="center" wrapText="1"/>
      <protection locked="0"/>
    </xf>
    <xf numFmtId="49" fontId="27" fillId="16" borderId="99" xfId="181" applyNumberFormat="1" applyFont="1" applyFill="1" applyBorder="1" applyAlignment="1" applyProtection="1">
      <alignment horizontal="left" vertical="center" wrapText="1"/>
      <protection locked="0"/>
    </xf>
    <xf numFmtId="49" fontId="27" fillId="16" borderId="122" xfId="181" applyNumberFormat="1" applyFont="1" applyFill="1" applyBorder="1" applyAlignment="1" applyProtection="1">
      <alignment horizontal="left" vertical="center" wrapText="1"/>
      <protection locked="0"/>
    </xf>
    <xf numFmtId="49" fontId="27" fillId="16" borderId="123" xfId="181" applyNumberFormat="1" applyFont="1" applyFill="1" applyBorder="1" applyAlignment="1" applyProtection="1">
      <alignment horizontal="left" vertical="center" wrapText="1"/>
      <protection locked="0"/>
    </xf>
    <xf numFmtId="0" fontId="65" fillId="0" borderId="88" xfId="0" applyFont="1" applyBorder="1" applyAlignment="1">
      <alignment horizontal="left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 wrapText="1"/>
    </xf>
    <xf numFmtId="0" fontId="18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right" wrapText="1"/>
    </xf>
    <xf numFmtId="49" fontId="8" fillId="2" borderId="4" xfId="1" applyNumberFormat="1" applyFont="1" applyFill="1" applyBorder="1" applyAlignment="1">
      <alignment horizontal="center" vertical="center" wrapText="1"/>
    </xf>
    <xf numFmtId="49" fontId="8" fillId="2" borderId="6" xfId="1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3" borderId="12" xfId="1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49" fontId="9" fillId="5" borderId="2" xfId="1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 wrapText="1"/>
    </xf>
    <xf numFmtId="0" fontId="3" fillId="8" borderId="3" xfId="1" applyFont="1" applyFill="1" applyBorder="1" applyAlignment="1">
      <alignment horizontal="center" vertical="center"/>
    </xf>
    <xf numFmtId="0" fontId="6" fillId="2" borderId="16" xfId="4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9" fillId="0" borderId="23" xfId="1" applyFont="1" applyBorder="1" applyAlignment="1">
      <alignment horizontal="center" vertical="center" wrapText="1"/>
    </xf>
    <xf numFmtId="0" fontId="19" fillId="0" borderId="824" xfId="1" applyFont="1" applyBorder="1" applyAlignment="1">
      <alignment horizontal="center" vertical="center" wrapText="1"/>
    </xf>
    <xf numFmtId="0" fontId="19" fillId="0" borderId="1213" xfId="1" applyFont="1" applyBorder="1" applyAlignment="1">
      <alignment horizontal="center" vertical="center" wrapText="1"/>
    </xf>
    <xf numFmtId="0" fontId="19" fillId="0" borderId="20" xfId="1" applyFont="1" applyBorder="1" applyAlignment="1">
      <alignment horizontal="center" vertical="center" wrapText="1"/>
    </xf>
    <xf numFmtId="0" fontId="19" fillId="0" borderId="864" xfId="1" applyFont="1" applyBorder="1" applyAlignment="1">
      <alignment horizontal="center" vertical="center" wrapText="1"/>
    </xf>
    <xf numFmtId="49" fontId="19" fillId="0" borderId="1211" xfId="1" applyNumberFormat="1" applyFont="1" applyBorder="1" applyAlignment="1">
      <alignment horizontal="center" vertical="center"/>
    </xf>
    <xf numFmtId="49" fontId="19" fillId="0" borderId="10" xfId="1" applyNumberFormat="1" applyFont="1" applyBorder="1" applyAlignment="1">
      <alignment horizontal="center" vertical="center"/>
    </xf>
    <xf numFmtId="49" fontId="19" fillId="0" borderId="428" xfId="1" applyNumberFormat="1" applyFont="1" applyBorder="1" applyAlignment="1">
      <alignment horizontal="center" vertical="center"/>
    </xf>
    <xf numFmtId="0" fontId="19" fillId="0" borderId="1211" xfId="1" applyFont="1" applyBorder="1" applyAlignment="1">
      <alignment horizontal="center" vertical="center" wrapText="1"/>
    </xf>
    <xf numFmtId="0" fontId="19" fillId="0" borderId="428" xfId="1" applyFont="1" applyBorder="1" applyAlignment="1">
      <alignment horizontal="center" vertical="center" wrapText="1"/>
    </xf>
    <xf numFmtId="0" fontId="28" fillId="2" borderId="0" xfId="1" applyFont="1" applyFill="1" applyAlignment="1">
      <alignment horizontal="center" vertical="center" wrapText="1"/>
    </xf>
    <xf numFmtId="0" fontId="22" fillId="0" borderId="3" xfId="1" applyFont="1" applyBorder="1" applyAlignment="1">
      <alignment horizontal="center" vertical="center" wrapText="1"/>
    </xf>
    <xf numFmtId="0" fontId="19" fillId="0" borderId="18" xfId="1" applyFont="1" applyBorder="1" applyAlignment="1">
      <alignment horizontal="center" vertical="center" wrapText="1"/>
    </xf>
    <xf numFmtId="0" fontId="19" fillId="0" borderId="17" xfId="1" applyFont="1" applyBorder="1" applyAlignment="1">
      <alignment horizontal="center" vertical="center" wrapText="1"/>
    </xf>
    <xf numFmtId="0" fontId="19" fillId="0" borderId="8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22" fillId="4" borderId="5" xfId="1" applyFont="1" applyFill="1" applyBorder="1" applyAlignment="1">
      <alignment horizontal="center" vertical="center" wrapText="1"/>
    </xf>
    <xf numFmtId="0" fontId="22" fillId="4" borderId="21" xfId="1" applyFont="1" applyFill="1" applyBorder="1" applyAlignment="1">
      <alignment horizontal="center" vertical="center" wrapText="1"/>
    </xf>
    <xf numFmtId="0" fontId="22" fillId="4" borderId="11" xfId="1" applyFont="1" applyFill="1" applyBorder="1" applyAlignment="1">
      <alignment horizontal="center" vertical="center" wrapText="1"/>
    </xf>
    <xf numFmtId="0" fontId="19" fillId="0" borderId="28" xfId="1" applyFont="1" applyBorder="1" applyAlignment="1">
      <alignment horizontal="center" vertical="center" wrapText="1"/>
    </xf>
    <xf numFmtId="0" fontId="22" fillId="4" borderId="7" xfId="1" applyFont="1" applyFill="1" applyBorder="1" applyAlignment="1">
      <alignment horizontal="center" vertical="center" wrapText="1"/>
    </xf>
    <xf numFmtId="0" fontId="22" fillId="4" borderId="19" xfId="1" applyFont="1" applyFill="1" applyBorder="1" applyAlignment="1">
      <alignment horizontal="center" vertical="center" wrapText="1"/>
    </xf>
    <xf numFmtId="0" fontId="22" fillId="4" borderId="1" xfId="1" applyFont="1" applyFill="1" applyBorder="1" applyAlignment="1">
      <alignment horizontal="center" vertical="center" wrapText="1"/>
    </xf>
    <xf numFmtId="0" fontId="19" fillId="0" borderId="10" xfId="1" applyFont="1" applyBorder="1" applyAlignment="1">
      <alignment horizontal="center" vertical="center" wrapText="1"/>
    </xf>
    <xf numFmtId="0" fontId="19" fillId="0" borderId="14" xfId="1" applyFont="1" applyBorder="1" applyAlignment="1">
      <alignment horizontal="center" vertical="center" wrapText="1"/>
    </xf>
    <xf numFmtId="0" fontId="19" fillId="0" borderId="12" xfId="1" applyFont="1" applyBorder="1" applyAlignment="1">
      <alignment horizontal="center" vertical="center" wrapText="1"/>
    </xf>
    <xf numFmtId="0" fontId="22" fillId="4" borderId="1214" xfId="1" applyFont="1" applyFill="1" applyBorder="1" applyAlignment="1">
      <alignment horizontal="center" vertical="center" wrapText="1"/>
    </xf>
    <xf numFmtId="0" fontId="22" fillId="4" borderId="829" xfId="1" applyFont="1" applyFill="1" applyBorder="1" applyAlignment="1">
      <alignment horizontal="center" vertical="center" wrapText="1"/>
    </xf>
    <xf numFmtId="0" fontId="22" fillId="4" borderId="1215" xfId="1" applyFont="1" applyFill="1" applyBorder="1" applyAlignment="1">
      <alignment horizontal="center" vertical="center" wrapText="1"/>
    </xf>
    <xf numFmtId="3" fontId="19" fillId="0" borderId="14" xfId="1" applyNumberFormat="1" applyFont="1" applyBorder="1" applyAlignment="1">
      <alignment horizontal="right" vertical="center" wrapText="1"/>
    </xf>
    <xf numFmtId="3" fontId="19" fillId="0" borderId="10" xfId="1" applyNumberFormat="1" applyFont="1" applyBorder="1" applyAlignment="1">
      <alignment horizontal="right" vertical="center" wrapText="1"/>
    </xf>
    <xf numFmtId="3" fontId="19" fillId="0" borderId="26" xfId="1" applyNumberFormat="1" applyFont="1" applyBorder="1" applyAlignment="1">
      <alignment horizontal="right" vertical="center" wrapText="1"/>
    </xf>
    <xf numFmtId="0" fontId="19" fillId="4" borderId="7" xfId="1" applyFont="1" applyFill="1" applyBorder="1" applyAlignment="1">
      <alignment horizontal="center" vertical="center" wrapText="1"/>
    </xf>
    <xf numFmtId="0" fontId="19" fillId="4" borderId="19" xfId="1" applyFont="1" applyFill="1" applyBorder="1" applyAlignment="1">
      <alignment horizontal="center" vertical="center" wrapText="1"/>
    </xf>
    <xf numFmtId="0" fontId="19" fillId="4" borderId="22" xfId="1" applyFont="1" applyFill="1" applyBorder="1" applyAlignment="1">
      <alignment horizontal="center" vertical="center" wrapText="1"/>
    </xf>
    <xf numFmtId="0" fontId="19" fillId="0" borderId="14" xfId="1" applyFont="1" applyBorder="1" applyAlignment="1">
      <alignment horizontal="left" vertical="center" wrapText="1"/>
    </xf>
    <xf numFmtId="0" fontId="19" fillId="0" borderId="12" xfId="1" applyFont="1" applyBorder="1" applyAlignment="1">
      <alignment horizontal="left" vertical="center" wrapText="1"/>
    </xf>
    <xf numFmtId="3" fontId="19" fillId="0" borderId="12" xfId="1" applyNumberFormat="1" applyFont="1" applyBorder="1" applyAlignment="1">
      <alignment horizontal="right" vertical="center" wrapText="1"/>
    </xf>
    <xf numFmtId="0" fontId="19" fillId="0" borderId="10" xfId="1" applyFont="1" applyBorder="1" applyAlignment="1">
      <alignment horizontal="left" vertical="center" wrapText="1"/>
    </xf>
    <xf numFmtId="0" fontId="19" fillId="0" borderId="26" xfId="1" applyFont="1" applyBorder="1" applyAlignment="1">
      <alignment horizontal="left" vertical="center" wrapText="1"/>
    </xf>
    <xf numFmtId="0" fontId="19" fillId="0" borderId="26" xfId="1" applyFont="1" applyBorder="1" applyAlignment="1">
      <alignment horizontal="center" vertical="center" wrapText="1"/>
    </xf>
    <xf numFmtId="0" fontId="24" fillId="0" borderId="14" xfId="1" applyFont="1" applyBorder="1" applyAlignment="1">
      <alignment horizontal="left" vertical="center" wrapText="1"/>
    </xf>
    <xf numFmtId="0" fontId="24" fillId="0" borderId="10" xfId="1" applyFont="1" applyBorder="1" applyAlignment="1">
      <alignment horizontal="left" vertical="center" wrapText="1"/>
    </xf>
    <xf numFmtId="0" fontId="24" fillId="0" borderId="12" xfId="1" applyFont="1" applyBorder="1" applyAlignment="1">
      <alignment horizontal="left" vertical="center" wrapText="1"/>
    </xf>
    <xf numFmtId="0" fontId="25" fillId="8" borderId="3" xfId="1" applyFont="1" applyFill="1" applyBorder="1" applyAlignment="1">
      <alignment horizontal="center" vertical="center" wrapText="1"/>
    </xf>
    <xf numFmtId="0" fontId="19" fillId="0" borderId="1212" xfId="1" applyFont="1" applyBorder="1" applyAlignment="1">
      <alignment horizontal="center" vertical="center" wrapText="1"/>
    </xf>
    <xf numFmtId="0" fontId="19" fillId="0" borderId="27" xfId="1" applyFont="1" applyBorder="1" applyAlignment="1">
      <alignment horizontal="center" vertical="center" wrapText="1"/>
    </xf>
    <xf numFmtId="0" fontId="6" fillId="2" borderId="1211" xfId="4" applyFont="1" applyFill="1" applyBorder="1" applyAlignment="1">
      <alignment horizontal="center" vertical="center" wrapText="1"/>
    </xf>
    <xf numFmtId="0" fontId="6" fillId="2" borderId="1216" xfId="4" applyFont="1" applyFill="1" applyBorder="1" applyAlignment="1">
      <alignment horizontal="center" vertical="center" wrapText="1"/>
    </xf>
    <xf numFmtId="0" fontId="6" fillId="2" borderId="428" xfId="4" applyFont="1" applyFill="1" applyBorder="1" applyAlignment="1">
      <alignment horizontal="center" vertical="center" wrapText="1"/>
    </xf>
  </cellXfs>
  <cellStyles count="184">
    <cellStyle name="Dziesiętny 2" xfId="35" xr:uid="{D86B8BBC-C299-4CE0-9CA6-57C0E2D0909A}"/>
    <cellStyle name="Dziesiętny 2 2" xfId="77" xr:uid="{D227888A-E2B6-4AD4-8D96-88FCC872608F}"/>
    <cellStyle name="Dziesiętny 3" xfId="63" xr:uid="{B1B97516-9EA1-4B5B-B272-AFB35FA1BA1C}"/>
    <cellStyle name="Normalny" xfId="0" builtinId="0"/>
    <cellStyle name="Normalny 10" xfId="30" xr:uid="{CCEF9107-6341-4495-998E-47755932BACF}"/>
    <cellStyle name="Normalny 10 2" xfId="72" xr:uid="{303B5FB4-19E8-451B-AEFC-3EA350FF7C2A}"/>
    <cellStyle name="Normalny 11" xfId="42" xr:uid="{9F489A20-9539-46D8-9D98-7306F9CCF617}"/>
    <cellStyle name="Normalny 11 2" xfId="43" xr:uid="{64A9A896-E579-4B92-82DC-C1A811ADB6FF}"/>
    <cellStyle name="Normalny 11 2 2" xfId="85" xr:uid="{C0446521-88FA-4A0F-94BF-578D9B8D336C}"/>
    <cellStyle name="Normalny 11 3" xfId="84" xr:uid="{BC065ECD-E374-4163-83F0-3AACCFCAF20F}"/>
    <cellStyle name="Normalny 12" xfId="44" xr:uid="{0E7788C5-29C7-4DD3-ADDD-0648F72AA178}"/>
    <cellStyle name="Normalny 12 2" xfId="86" xr:uid="{857C484A-561B-48FF-9F88-6B9DBE1B0976}"/>
    <cellStyle name="Normalny 13" xfId="47" xr:uid="{451C6D2B-CC10-4066-97CE-0EBEFE6C655F}"/>
    <cellStyle name="Normalny 13 2" xfId="48" xr:uid="{860DAD32-B651-4B49-B2D8-AF481C1905DF}"/>
    <cellStyle name="Normalny 13 2 2" xfId="90" xr:uid="{1636C2B3-4708-4796-A3A1-FB367DC9E256}"/>
    <cellStyle name="Normalny 13 3" xfId="49" xr:uid="{4E269C6F-16DB-4A71-91C8-F0DB7742BCC5}"/>
    <cellStyle name="Normalny 13 3 2" xfId="50" xr:uid="{24AA8DD4-A68B-4BEF-8CC8-E86A215320B0}"/>
    <cellStyle name="Normalny 13 3 2 2" xfId="92" xr:uid="{13065B57-319F-43B2-A478-0D8A3087E4BC}"/>
    <cellStyle name="Normalny 13 3 3" xfId="91" xr:uid="{26866528-6724-42EF-AEBC-05E7300A301E}"/>
    <cellStyle name="Normalny 13 4" xfId="89" xr:uid="{83B916F0-69C4-4638-91F2-7CECB897A878}"/>
    <cellStyle name="Normalny 14" xfId="53" xr:uid="{C7E97B3B-3190-4FDD-9349-2534D1DAC4E9}"/>
    <cellStyle name="Normalny 14 2" xfId="95" xr:uid="{EBA3267F-A376-4E3B-A37C-3560E40E825C}"/>
    <cellStyle name="Normalny 15" xfId="54" xr:uid="{1099D934-D5D3-4951-A280-45EAB419ECC5}"/>
    <cellStyle name="Normalny 15 2" xfId="55" xr:uid="{4E42E6A3-A660-4030-B459-96FB07468741}"/>
    <cellStyle name="Normalny 15 2 2" xfId="57" xr:uid="{336849B9-21B9-4D0A-9666-7BF2065F5006}"/>
    <cellStyle name="Normalny 15 2 2 2" xfId="99" xr:uid="{0EDEAAD5-77CD-467A-AEB8-476D3CCC4098}"/>
    <cellStyle name="Normalny 15 2 3" xfId="97" xr:uid="{0920E24A-34D6-4AB5-AE05-95592E61D453}"/>
    <cellStyle name="Normalny 15 3" xfId="96" xr:uid="{66BB92B9-ECF8-468D-9777-D52831B11C3D}"/>
    <cellStyle name="Normalny 16" xfId="56" xr:uid="{CCC87345-1D41-45B3-81F6-2E0348032DF0}"/>
    <cellStyle name="Normalny 16 2" xfId="98" xr:uid="{7A1090D0-A1B5-4184-9DB6-352BA4868C15}"/>
    <cellStyle name="Normalny 17" xfId="106" xr:uid="{2E775397-3B8D-4CD5-AD7A-FDDD83029DCE}"/>
    <cellStyle name="Normalny 18" xfId="109" xr:uid="{A40760CA-748D-485A-8BF2-1CD1DF9B9B9B}"/>
    <cellStyle name="Normalny 18 2" xfId="110" xr:uid="{A626C706-4B8E-40CA-A1D6-E7D86EF2E884}"/>
    <cellStyle name="Normalny 18 2 2" xfId="112" xr:uid="{EBE7FD84-3586-4AE5-875C-8B9D438C7833}"/>
    <cellStyle name="Normalny 18 2 2 2" xfId="115" xr:uid="{ABBD7BD2-2142-474B-B661-5A9BD49C7801}"/>
    <cellStyle name="Normalny 18 2 2 2 2" xfId="118" xr:uid="{D4273F9B-D80D-48D8-8B00-396DAC781298}"/>
    <cellStyle name="Normalny 18 2 2 2 3" xfId="119" xr:uid="{BDB51F43-2E60-4A19-B2B6-B50871C5D529}"/>
    <cellStyle name="Normalny 18 2 2 2 3 2" xfId="120" xr:uid="{7A6B66BD-1231-4DBF-8110-6E54E296E873}"/>
    <cellStyle name="Normalny 18 2 2 2 3 2 2" xfId="121" xr:uid="{FAB80A4A-CD52-41EB-91EC-61E1A8E1BAA3}"/>
    <cellStyle name="Normalny 18 2 2 2 3 2 2 2" xfId="122" xr:uid="{5F0B683F-0C04-4AA8-A68C-BE77ACC179DC}"/>
    <cellStyle name="Normalny 18 2 2 2 3 2 2 2 2" xfId="123" xr:uid="{40EF54A9-0962-4E82-8ACC-362305DBA40F}"/>
    <cellStyle name="Normalny 18 2 2 2 3 2 2 2 4" xfId="138" xr:uid="{E2190089-3908-480C-B0B5-7484EAAF7628}"/>
    <cellStyle name="Normalny 18 2 2 2 3 2 3" xfId="134" xr:uid="{DB7BA8A1-B015-430A-983D-2A91B9C64028}"/>
    <cellStyle name="Normalny 18 2 2 2 3 2 3 2" xfId="135" xr:uid="{D5408752-801E-4826-970E-6D379C326B16}"/>
    <cellStyle name="Normalny 18 2 2 2 3 2 4" xfId="141" xr:uid="{31186187-4127-4BD6-B8F1-16122686743D}"/>
    <cellStyle name="Normalny 18 2 2 2 3 2 4 2" xfId="146" xr:uid="{4CE9853A-A591-4631-8565-E101010482E7}"/>
    <cellStyle name="Normalny 18 2 2 2 3 2 4 2 2" xfId="149" xr:uid="{A7290CA7-2E3B-43F6-A195-7AB1C978B2D4}"/>
    <cellStyle name="Normalny 18 2 2 2 3 2 4 3" xfId="150" xr:uid="{A78F9C0A-5AF3-4A99-90E7-8BF77D753B26}"/>
    <cellStyle name="Normalny 18 2 2 2 3 2 4 4" xfId="153" xr:uid="{C1A8AEF0-1268-4A27-9727-F7B428EC466B}"/>
    <cellStyle name="Normalny 18 2 2 2 3 2 4 5" xfId="154" xr:uid="{F809E5FC-1E72-4546-A9A6-D57A71BB32A0}"/>
    <cellStyle name="Normalny 18 2 2 2 3 2 4 6" xfId="155" xr:uid="{831A6645-4A65-48E0-8561-89B60EFC05A0}"/>
    <cellStyle name="Normalny 18 2 2 2 3 2 4 6 3" xfId="158" xr:uid="{23AC968B-DC0D-4FFF-BC33-C465A42DB6F4}"/>
    <cellStyle name="Normalny 18 2 2 2 3 2 4 6 3 2" xfId="163" xr:uid="{3A962A97-5574-486E-9C3D-080D978B969A}"/>
    <cellStyle name="Normalny 18 2 2 2 3 2 4 6 3 2 2" xfId="166" xr:uid="{1B73B854-259A-41B0-964B-3479A4A1C223}"/>
    <cellStyle name="Normalny 18 2 2 2 3 2 4 6 3 2 3" xfId="167" xr:uid="{32A23A87-ACF4-4E56-857E-D6903559DEAE}"/>
    <cellStyle name="Normalny 18 2 2 2 3 2 4 6 3 2 4" xfId="168" xr:uid="{01799799-C67A-4BC5-ABE7-C93380F081FF}"/>
    <cellStyle name="Normalny 18 2 2 2 3 2 4 6 3 2 4 2" xfId="169" xr:uid="{9AF16527-79EF-42FB-9777-5D55E39FCF97}"/>
    <cellStyle name="Normalny 18 2 2 2 3 2 4 6 3 2 4 2 2" xfId="171" xr:uid="{F178A770-E859-4ABB-9319-022E40F56D8E}"/>
    <cellStyle name="Normalny 18 2 2 2 3 2 4 6 3 2 4 2 3" xfId="172" xr:uid="{3846F19C-277A-4ED8-92B9-B66F3BB7EBAD}"/>
    <cellStyle name="Normalny 18 2 2 2 3 2 4 6 3 2 4 2 3 2" xfId="173" xr:uid="{736C02F0-334B-4550-BA76-D6058DA91313}"/>
    <cellStyle name="Normalny 18 2 2 2 3 2 4 6 3 2 4 2 3 3" xfId="174" xr:uid="{0EC6E55E-28C3-4519-9D60-9E1E8CFEDCAF}"/>
    <cellStyle name="Normalny 18 2 2 2 3 2 4 6 3 2 4 2 3 4" xfId="175" xr:uid="{2F6808FF-A51D-4DD6-9498-88E429570B18}"/>
    <cellStyle name="Normalny 18 2 2 2 3 2 4 6 3 2 4 2 3 5" xfId="176" xr:uid="{04052633-12D2-43CD-B739-D7392D8C1507}"/>
    <cellStyle name="Normalny 18 2 2 2 3 2 4 6 3 2 4 3" xfId="170" xr:uid="{7312AE33-A106-4209-ACDF-B6B278FDE01F}"/>
    <cellStyle name="Normalny 18 2 2 3" xfId="116" xr:uid="{6B953CA1-628F-4A4A-9DF1-1A939298A7BA}"/>
    <cellStyle name="Normalny 18 2 2 3 2" xfId="131" xr:uid="{B6594FD3-A77E-4532-812E-41A6715FB839}"/>
    <cellStyle name="Normalny 18 2 2 4" xfId="117" xr:uid="{4591408A-83D4-402D-97C7-B57EC0D310DE}"/>
    <cellStyle name="Normalny 2" xfId="9" xr:uid="{A0D07603-AE16-4269-B045-B292C65890AA}"/>
    <cellStyle name="Normalny 2 2" xfId="10" xr:uid="{7154DBBA-A429-4F64-BC45-D7F3B6F9C9CC}"/>
    <cellStyle name="Normalny 2 2 2" xfId="15" xr:uid="{9480788B-8E9F-4CC1-8AD4-F4372705DF0D}"/>
    <cellStyle name="Normalny 2 2 3" xfId="16" xr:uid="{8826EE03-86B1-41C6-BCF9-86ECEBFC8CF3}"/>
    <cellStyle name="Normalny 2 3" xfId="17" xr:uid="{03D8EC2C-8C66-461C-A1DE-1EBFA9122222}"/>
    <cellStyle name="Normalny 2 3 2" xfId="1" xr:uid="{00000000-0005-0000-0000-000001000000}"/>
    <cellStyle name="Normalny 2 3 3" xfId="183" xr:uid="{0CDF1791-090C-4BBD-B957-A9EAD14B8BF6}"/>
    <cellStyle name="Normalny 2 4" xfId="20" xr:uid="{B128353F-5CD7-47CC-9389-27721B1F1ED6}"/>
    <cellStyle name="Normalny 2 4 2" xfId="182" xr:uid="{7BE21650-EED2-44ED-A149-BB8597C769B8}"/>
    <cellStyle name="Normalny 3" xfId="11" xr:uid="{F15BA9B1-9BBF-4BA9-BED4-7F2B89851C09}"/>
    <cellStyle name="Normalny 3 2" xfId="12" xr:uid="{D8F92F43-7CD4-4F98-8814-60719FCA562F}"/>
    <cellStyle name="Normalny 3 2 2" xfId="13" xr:uid="{7E1DE1A1-E779-42FE-B837-AD4BB12A596B}"/>
    <cellStyle name="Normalny 3 2 2 3 2 2 2" xfId="3" xr:uid="{00000000-0005-0000-0000-000002000000}"/>
    <cellStyle name="Normalny 3 2 3" xfId="62" xr:uid="{5D6DC914-9D52-48ED-A2A8-DA0F6474C007}"/>
    <cellStyle name="Normalny 3 2 3 2 2 2" xfId="4" xr:uid="{00000000-0005-0000-0000-000003000000}"/>
    <cellStyle name="Normalny 3 2 4" xfId="180" xr:uid="{D959201A-14E4-4422-99C4-1F5B513AC03B}"/>
    <cellStyle name="Normalny 4" xfId="14" xr:uid="{22F9D026-940C-4CDC-9F5D-230B225BF48F}"/>
    <cellStyle name="Normalny 5" xfId="7" xr:uid="{87E4D683-4939-433E-A406-5BE311A01CA4}"/>
    <cellStyle name="Normalny 5 2" xfId="18" xr:uid="{363AA441-055A-45A4-9AC4-A16CA26169C3}"/>
    <cellStyle name="Normalny 5 2 2" xfId="5" xr:uid="{00000000-0005-0000-0000-000004000000}"/>
    <cellStyle name="Normalny 5 2 2 2" xfId="28" xr:uid="{C600208A-2725-4D02-8675-106E300C240D}"/>
    <cellStyle name="Normalny 5 2 2 2 2" xfId="32" xr:uid="{6021DE8E-E61C-49D3-967E-B92B6ABD18E1}"/>
    <cellStyle name="Normalny 5 2 2 2 2 2" xfId="41" xr:uid="{357DAF19-098A-457C-BD80-33BCB8DC4EF3}"/>
    <cellStyle name="Normalny 5 2 2 2 2 2 2" xfId="46" xr:uid="{EBCEC67E-70CE-4C47-AB32-5FAA5A70185C}"/>
    <cellStyle name="Normalny 5 2 2 2 2 2 2 2" xfId="52" xr:uid="{39AEA123-C232-4F23-B3F6-A425D72142E2}"/>
    <cellStyle name="Normalny 5 2 2 2 2 2 2 2 2" xfId="94" xr:uid="{2336DFE6-9799-4848-9A87-2815B904A57D}"/>
    <cellStyle name="Normalny 5 2 2 2 2 2 2 2 2 2" xfId="103" xr:uid="{DB1CB6AF-BCDE-40F2-8F2B-429A3D3013C1}"/>
    <cellStyle name="Normalny 5 2 2 2 2 2 2 2 2 2 2" xfId="108" xr:uid="{3561833D-2615-4456-9FD1-4B65EA65984B}"/>
    <cellStyle name="Normalny 5 2 2 2 2 2 2 2 2 2 2 2" xfId="114" xr:uid="{6C655953-FA43-42AC-A4B1-9E26B71E822D}"/>
    <cellStyle name="Normalny 5 2 2 2 2 2 2 2 2 2 2 2 2" xfId="125" xr:uid="{922D4250-6FD6-48FC-B7A5-00E219B904B9}"/>
    <cellStyle name="Normalny 5 2 2 2 2 2 2 2 2 2 2 2 2 2" xfId="133" xr:uid="{2B58A082-DB7B-4ECC-8B59-065E2C85151F}"/>
    <cellStyle name="Normalny 5 2 2 2 2 2 2 2 2 2 2 2 3" xfId="137" xr:uid="{DE6D6E22-375D-4A11-9A57-C363AF7540E6}"/>
    <cellStyle name="Normalny 5 2 2 2 2 2 2 2 2 2 2 2 3 2" xfId="140" xr:uid="{9AE0C833-19A9-44D5-AB21-7F5B31CBF870}"/>
    <cellStyle name="Normalny 5 2 2 2 2 2 2 2 2 2 2 2 3 3" xfId="143" xr:uid="{BD1C1A0B-7F90-429C-A3D9-D56B650055E2}"/>
    <cellStyle name="Normalny 5 2 2 2 2 2 2 2 2 2 2 2 3 3 2" xfId="145" xr:uid="{9097D924-1D30-4C35-9716-7E39314DD491}"/>
    <cellStyle name="Normalny 5 2 2 2 2 2 2 2 2 2 2 2 3 3 2 2" xfId="148" xr:uid="{058A92AF-FE28-483B-BCE3-3E604A29B097}"/>
    <cellStyle name="Normalny 5 2 2 2 2 2 2 2 2 2 2 2 3 3 2 2 2" xfId="152" xr:uid="{75D186CD-B4FA-4349-A1E8-1DF24B3F5803}"/>
    <cellStyle name="Normalny 5 2 2 2 2 2 2 2 2 2 2 2 3 3 2 2 2 2" xfId="157" xr:uid="{A2585602-8CF3-4C1B-90E0-A2902FB936B4}"/>
    <cellStyle name="Normalny 5 2 2 2 2 2 2 2 2 2 2 2 3 3 3" xfId="162" xr:uid="{410A1115-5729-483B-934A-B55E28C1AC3E}"/>
    <cellStyle name="Normalny 5 2 2 2 2 2 2 2 2 2 2 2 3 3 3 2" xfId="165" xr:uid="{171577CB-1556-43DA-9A87-96148D205286}"/>
    <cellStyle name="Normalny 5 2 2 2 2 2 2 2 2 2 2 2 3 4" xfId="160" xr:uid="{ADCE2E68-DF3E-46B9-A369-0C2C342B1EC4}"/>
    <cellStyle name="Normalny 5 2 2 2 2 2 2 3" xfId="88" xr:uid="{DACED48A-3FF5-4DC6-8EB1-D827FCD1E83D}"/>
    <cellStyle name="Normalny 5 2 2 2 2 2 3" xfId="83" xr:uid="{D02A0A09-CAB8-48E4-BF28-4F06D2F5182B}"/>
    <cellStyle name="Normalny 5 2 2 2 2 3" xfId="74" xr:uid="{F0CCE315-AC11-4622-AE4C-36730B8D4FA2}"/>
    <cellStyle name="Normalny 5 2 2 2 3" xfId="70" xr:uid="{4E95C90F-F3B6-497D-B24A-E67A6D3804D9}"/>
    <cellStyle name="Normalny 5 2 2 3" xfId="33" xr:uid="{AF773D66-46FD-4F59-8D33-F5947665AD34}"/>
    <cellStyle name="Normalny 5 2 2 3 2" xfId="75" xr:uid="{699DC8C8-5DB0-435A-B7FC-6F4B6365DBA9}"/>
    <cellStyle name="Normalny 5 2 2 4" xfId="66" xr:uid="{FD360E2D-CC6B-46B8-8FCA-F2DF097FDE75}"/>
    <cellStyle name="Normalny 5 2 2 5" xfId="128" xr:uid="{7CE67E55-5B40-46D9-9D72-CBF1E9412DAA}"/>
    <cellStyle name="Normalny 5 2 2 6" xfId="24" xr:uid="{82AF788A-DDA7-43C3-BCAA-8C50948AE5CD}"/>
    <cellStyle name="Normalny 5 2 3" xfId="6" xr:uid="{00000000-0005-0000-0000-000005000000}"/>
    <cellStyle name="Normalny 5 2 3 2" xfId="38" xr:uid="{4F6AE85C-74BA-423E-89D3-0785D7822619}"/>
    <cellStyle name="Normalny 5 2 3 2 2" xfId="59" xr:uid="{0EFD2B77-0527-42F1-BA73-DE69E17C1130}"/>
    <cellStyle name="Normalny 5 2 3 2 2 2" xfId="101" xr:uid="{8395B28E-64B1-4DED-832B-328D02036929}"/>
    <cellStyle name="Normalny 5 2 3 2 3" xfId="81" xr:uid="{19F64FB2-21E9-4A11-B5BD-8358412B9F4A}"/>
    <cellStyle name="Normalny 5 2 3 3" xfId="79" xr:uid="{9045C8B8-8B2F-412F-B82B-E2AC02A33464}"/>
    <cellStyle name="Normalny 5 2 4" xfId="64" xr:uid="{8EE49E79-CD1B-4A0E-AAE0-3A6A315405A3}"/>
    <cellStyle name="Normalny 5 2 5" xfId="104" xr:uid="{71C0E6CE-E68C-4EF3-BA54-19D12A776855}"/>
    <cellStyle name="Normalny 5 2 6" xfId="111" xr:uid="{70FD38D6-55E0-4A0A-8889-2B1F5BF727E9}"/>
    <cellStyle name="Normalny 5 2 7" xfId="126" xr:uid="{76A52D55-25B0-4012-8F8A-F29CA240E88E}"/>
    <cellStyle name="Normalny 5 2 7 2" xfId="129" xr:uid="{70B94BED-2FC4-46C6-975F-11CD78595E90}"/>
    <cellStyle name="Normalny 5 3" xfId="25" xr:uid="{60544618-B44D-4693-9D82-856ECC323540}"/>
    <cellStyle name="Normalny 5 3 2" xfId="27" xr:uid="{E7221A9C-D618-43E6-8B7C-A97A5F2F220C}"/>
    <cellStyle name="Normalny 5 3 2 2" xfId="31" xr:uid="{A8089285-89F5-471C-B43C-97A4FC0B9BA3}"/>
    <cellStyle name="Normalny 5 3 2 2 2" xfId="40" xr:uid="{0B63935E-606D-45AA-B142-153F30934BC7}"/>
    <cellStyle name="Normalny 5 3 2 2 2 2" xfId="45" xr:uid="{EBC0AE61-7BF2-4C09-AA10-690F4B23D95A}"/>
    <cellStyle name="Normalny 5 3 2 2 2 2 2" xfId="51" xr:uid="{9774630C-67DC-4510-8865-53EA2A708B69}"/>
    <cellStyle name="Normalny 5 3 2 2 2 2 2 2" xfId="93" xr:uid="{D38B191F-56AF-4853-BE83-DBBFB5B052E7}"/>
    <cellStyle name="Normalny 5 3 2 2 2 2 2 2 2" xfId="102" xr:uid="{D10D98C8-1BAB-40FC-A9A5-57FE5518D6C6}"/>
    <cellStyle name="Normalny 5 3 2 2 2 2 2 2 2 2" xfId="107" xr:uid="{47755DF1-1980-4EA2-B5D6-AB16BB2FB649}"/>
    <cellStyle name="Normalny 5 3 2 2 2 2 2 2 2 2 2" xfId="113" xr:uid="{892ECDA4-36D2-46F6-BC93-A6250FD383B7}"/>
    <cellStyle name="Normalny 5 3 2 2 2 2 2 2 2 2 2 2" xfId="124" xr:uid="{9DFFADE7-D9A0-479F-92BD-4B59EF390407}"/>
    <cellStyle name="Normalny 5 3 2 2 2 2 2 2 2 2 2 2 2" xfId="132" xr:uid="{277EF392-0EA8-4CD4-AEC3-F1019210CE9B}"/>
    <cellStyle name="Normalny 5 3 2 2 2 2 2 2 2 2 2 3" xfId="136" xr:uid="{5F9A3056-D1D3-4D12-B747-A4A4A13CC901}"/>
    <cellStyle name="Normalny 5 3 2 2 2 2 2 2 2 2 2 3 2" xfId="139" xr:uid="{7E57A2F9-9785-4DC6-8F67-D2575128B78B}"/>
    <cellStyle name="Normalny 5 3 2 2 2 2 2 2 2 2 2 3 3" xfId="142" xr:uid="{F6DD7BC5-E1BB-4C2E-9163-46D4F08032AB}"/>
    <cellStyle name="Normalny 5 3 2 2 2 2 2 2 2 2 2 3 3 2" xfId="144" xr:uid="{10C35DE3-519D-4C34-8839-A00FC027FAD4}"/>
    <cellStyle name="Normalny 5 3 2 2 2 2 2 2 2 2 2 3 3 2 2" xfId="147" xr:uid="{AE1852F0-FF6C-4B4B-B52D-79C99E921FD8}"/>
    <cellStyle name="Normalny 5 3 2 2 2 2 2 2 2 2 2 3 3 2 2 2" xfId="151" xr:uid="{287C8F92-B970-4D2F-87DD-D97599E0B0CC}"/>
    <cellStyle name="Normalny 5 3 2 2 2 2 2 2 2 2 2 3 3 2 2 2 2" xfId="156" xr:uid="{F740A872-C737-420C-8336-F781A9151C8F}"/>
    <cellStyle name="Normalny 5 3 2 2 2 2 2 2 2 2 2 3 3 3" xfId="161" xr:uid="{0301C251-4E93-4A38-B0BC-07BD92A7D1A8}"/>
    <cellStyle name="Normalny 5 3 2 2 2 2 2 2 2 2 2 3 3 3 2" xfId="164" xr:uid="{8C092894-39C6-49D1-B730-E87AA734EC32}"/>
    <cellStyle name="Normalny 5 3 2 2 2 2 2 2 2 2 2 3 4" xfId="159" xr:uid="{866E0402-0313-474F-92A6-6908BD7ABDCB}"/>
    <cellStyle name="Normalny 5 3 2 2 2 2 3" xfId="87" xr:uid="{DA12231C-716E-4C72-A06E-FDE55CEA4E86}"/>
    <cellStyle name="Normalny 5 3 2 2 2 3" xfId="82" xr:uid="{6B68754E-9231-4AC9-8398-77412FEFC898}"/>
    <cellStyle name="Normalny 5 3 2 2 3" xfId="73" xr:uid="{CA3DB70E-BAB5-4CFC-B79D-5688DC89050C}"/>
    <cellStyle name="Normalny 5 3 2 3" xfId="69" xr:uid="{3759A879-59E9-4C68-A7B3-757CC6FFB6C8}"/>
    <cellStyle name="Normalny 5 3 3" xfId="34" xr:uid="{55B1823D-389B-4F17-898B-DD3690D5992A}"/>
    <cellStyle name="Normalny 5 3 3 2" xfId="76" xr:uid="{7DD25383-118C-49D9-B8FC-D4FDC8DCF3D8}"/>
    <cellStyle name="Normalny 5 3 4" xfId="67" xr:uid="{6687E309-6529-4F81-A2D8-7365CFBC2530}"/>
    <cellStyle name="Normalny 5 4" xfId="36" xr:uid="{8451CB65-6703-4D68-BF3C-C3F4AE5D8CCD}"/>
    <cellStyle name="Normalny 5 4 2" xfId="37" xr:uid="{CA498763-1573-4A2E-ABF4-799006D00556}"/>
    <cellStyle name="Normalny 5 4 2 2" xfId="58" xr:uid="{B8C8BA14-0B99-4BE3-950D-CEE7635C5F4A}"/>
    <cellStyle name="Normalny 5 4 2 2 2" xfId="100" xr:uid="{49C3DEC3-A598-44CA-ADD8-8EF93367D52F}"/>
    <cellStyle name="Normalny 5 4 2 3" xfId="80" xr:uid="{9C1E72B8-10BA-403A-81C7-1DDCF44C1FD5}"/>
    <cellStyle name="Normalny 5 4 3" xfId="78" xr:uid="{651FD74C-78E1-4531-9BB4-497A9CAD69F3}"/>
    <cellStyle name="Normalny 5 5" xfId="60" xr:uid="{DA8D52DB-CE6E-448F-AFE3-8DC51877A6B4}"/>
    <cellStyle name="Normalny 6" xfId="21" xr:uid="{3C045EC3-BF53-4324-9B42-3411F0F0D428}"/>
    <cellStyle name="Normalny 6 2" xfId="181" xr:uid="{75BBFB2E-5B6A-429D-AB0A-C25CA8D5304A}"/>
    <cellStyle name="Normalny 6 2 2" xfId="2" xr:uid="{00000000-0005-0000-0000-000006000000}"/>
    <cellStyle name="Normalny 7" xfId="22" xr:uid="{65F1717D-D5BC-4E5A-A1BE-A7BC658CB74A}"/>
    <cellStyle name="Normalny 7 2" xfId="178" xr:uid="{CB5DF2A2-9464-41E6-8547-1A2FE30A06B6}"/>
    <cellStyle name="Normalny 8" xfId="23" xr:uid="{6575C2BC-8455-4AAD-80A1-E5C49E341013}"/>
    <cellStyle name="Normalny 9" xfId="29" xr:uid="{7EEFD581-0F23-4E90-9A7F-4CE4F5ECCFAC}"/>
    <cellStyle name="Normalny 9 2" xfId="71" xr:uid="{93CD21FF-9201-4694-8854-68A64E8ACFD2}"/>
    <cellStyle name="Procentowy" xfId="177" builtinId="5"/>
    <cellStyle name="Procentowy 2" xfId="8" xr:uid="{6EFB2D2A-E936-4915-A264-E325D8264444}"/>
    <cellStyle name="Procentowy 2 2" xfId="19" xr:uid="{BF895A1A-D52A-4EC6-B83E-F40EB2D9845E}"/>
    <cellStyle name="Procentowy 2 2 2" xfId="65" xr:uid="{813EB82B-3529-40B7-86F7-D8BCA4FDAA70}"/>
    <cellStyle name="Procentowy 2 3" xfId="26" xr:uid="{CA356EC8-1F42-4F48-98BC-B21D526F38EF}"/>
    <cellStyle name="Procentowy 2 3 2" xfId="68" xr:uid="{D1677E98-BE16-4C9A-AA88-1A1D1D5C4293}"/>
    <cellStyle name="Procentowy 2 4" xfId="61" xr:uid="{F002F92E-DFDB-42ED-88C2-859F2A0AF3CB}"/>
    <cellStyle name="Procentowy 2 5" xfId="105" xr:uid="{4BA628E7-247E-4020-A906-A4DD80358D94}"/>
    <cellStyle name="Procentowy 2 6" xfId="127" xr:uid="{A35F9024-AA55-4A86-96F5-B79ED5F55379}"/>
    <cellStyle name="Procentowy 2 6 2" xfId="130" xr:uid="{62FA7497-5371-480A-AE8B-904F02D6EB23}"/>
    <cellStyle name="Procentowy 3" xfId="39" xr:uid="{BF21B0DF-64C3-403D-8F27-A0291F5A5928}"/>
    <cellStyle name="Procentowy 3 2" xfId="179" xr:uid="{CA406CDF-4ADE-4666-AEFE-3B93C95C6EAB}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.kajzar\Desktop\WPF\2022\UCHWA&#321;Y\8%20wrzesie&#324;\raport%20bestia%2014.09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DaneZrodlowe"/>
      <sheetName val="DaneZrodloweDoWsk"/>
      <sheetName val="Instrukcja"/>
      <sheetName val="WPF_bazowy"/>
      <sheetName val="rysunki"/>
      <sheetName val="WPF_Analiza"/>
      <sheetName val="Symulacja"/>
      <sheetName val="Art. 28 Dodatek węglowy"/>
      <sheetName val="ObliczSrednie"/>
      <sheetName val="Opis zmian"/>
    </sheetNames>
    <sheetDataSet>
      <sheetData sheetId="0">
        <row r="2">
          <cell r="F2" t="str">
            <v>0BF9</v>
          </cell>
        </row>
      </sheetData>
      <sheetData sheetId="1">
        <row r="1">
          <cell r="N1">
            <v>2022</v>
          </cell>
        </row>
        <row r="2">
          <cell r="N2">
            <v>2045</v>
          </cell>
        </row>
        <row r="3">
          <cell r="N3" t="str">
            <v>0BF9</v>
          </cell>
        </row>
        <row r="4">
          <cell r="N4">
            <v>0</v>
          </cell>
        </row>
      </sheetData>
      <sheetData sheetId="2"/>
      <sheetData sheetId="3"/>
      <sheetData sheetId="4">
        <row r="3">
          <cell r="N3" t="str">
            <v>2022-08-31a</v>
          </cell>
        </row>
      </sheetData>
      <sheetData sheetId="5"/>
      <sheetData sheetId="6">
        <row r="1">
          <cell r="Q1">
            <v>2045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CCC23-4535-4791-9D8C-6FC6E074B96A}">
  <sheetPr>
    <tabColor rgb="FF00B0F0"/>
    <pageSetUpPr fitToPage="1"/>
  </sheetPr>
  <dimension ref="A1:CC1160"/>
  <sheetViews>
    <sheetView view="pageBreakPreview" zoomScale="90" zoomScaleNormal="100" zoomScaleSheetLayoutView="90" workbookViewId="0">
      <pane ySplit="7" topLeftCell="A331" activePane="bottomLeft" state="frozen"/>
      <selection activeCell="N1853" sqref="N1853"/>
      <selection pane="bottomLeft" activeCell="P333" sqref="P333"/>
    </sheetView>
  </sheetViews>
  <sheetFormatPr defaultColWidth="9.140625" defaultRowHeight="15"/>
  <cols>
    <col min="1" max="1" width="8.7109375" style="1367" customWidth="1"/>
    <col min="2" max="2" width="8.85546875" style="1367" customWidth="1"/>
    <col min="3" max="3" width="55.42578125" style="1368" customWidth="1"/>
    <col min="4" max="4" width="11.85546875" style="1368" customWidth="1"/>
    <col min="5" max="5" width="17.85546875" style="1360" hidden="1" customWidth="1"/>
    <col min="6" max="6" width="22.28515625" style="1358" customWidth="1"/>
    <col min="7" max="7" width="16.5703125" style="1358" hidden="1" customWidth="1"/>
    <col min="8" max="8" width="13.7109375" style="1358" hidden="1" customWidth="1"/>
    <col min="9" max="9" width="13.7109375" style="1361" hidden="1" customWidth="1"/>
    <col min="10" max="10" width="19.85546875" style="1358" customWidth="1"/>
    <col min="11" max="11" width="14" style="1358" customWidth="1"/>
    <col min="12" max="12" width="35.42578125" style="1366" hidden="1" customWidth="1"/>
    <col min="13" max="13" width="9.140625" style="161"/>
    <col min="14" max="14" width="12" style="161" bestFit="1" customWidth="1"/>
    <col min="15" max="16384" width="9.140625" style="161"/>
  </cols>
  <sheetData>
    <row r="1" spans="1:13" s="156" customFormat="1" ht="66" customHeight="1">
      <c r="A1" s="4312" t="s">
        <v>270</v>
      </c>
      <c r="B1" s="4312"/>
      <c r="C1" s="4312"/>
      <c r="D1" s="4312"/>
      <c r="E1" s="4312"/>
      <c r="F1" s="4312"/>
      <c r="G1" s="4312"/>
      <c r="H1" s="4312"/>
      <c r="I1" s="4312"/>
      <c r="J1" s="4312"/>
      <c r="K1" s="4312"/>
      <c r="L1" s="4312"/>
    </row>
    <row r="2" spans="1:13" s="156" customFormat="1" ht="44.25" hidden="1" customHeight="1">
      <c r="A2" s="4312" t="s">
        <v>271</v>
      </c>
      <c r="B2" s="4312"/>
      <c r="C2" s="4312"/>
      <c r="D2" s="4312"/>
      <c r="E2" s="4312"/>
      <c r="F2" s="157"/>
      <c r="G2" s="157"/>
      <c r="H2" s="157"/>
      <c r="I2" s="158"/>
      <c r="J2" s="157"/>
      <c r="K2" s="157"/>
      <c r="L2" s="159"/>
    </row>
    <row r="3" spans="1:13" s="156" customFormat="1" ht="15.75" customHeight="1" thickBot="1">
      <c r="A3" s="160"/>
      <c r="B3" s="160"/>
      <c r="C3" s="160"/>
      <c r="D3" s="160"/>
      <c r="E3" s="161"/>
      <c r="F3" s="157"/>
      <c r="G3" s="157"/>
      <c r="H3" s="162" t="s">
        <v>0</v>
      </c>
      <c r="I3" s="163"/>
      <c r="J3" s="164"/>
      <c r="K3" s="165" t="s">
        <v>0</v>
      </c>
      <c r="L3" s="159"/>
    </row>
    <row r="4" spans="1:13" s="156" customFormat="1" ht="8.25" hidden="1" customHeight="1" thickBot="1">
      <c r="A4" s="166"/>
      <c r="B4" s="167"/>
      <c r="C4" s="168"/>
      <c r="D4" s="168"/>
      <c r="E4" s="169"/>
      <c r="F4" s="157"/>
      <c r="G4" s="157"/>
      <c r="H4" s="157"/>
      <c r="I4" s="158"/>
      <c r="J4" s="157"/>
      <c r="K4" s="157"/>
      <c r="L4" s="159"/>
    </row>
    <row r="5" spans="1:13" s="170" customFormat="1" ht="50.25" customHeight="1" thickBot="1">
      <c r="A5" s="4313" t="s">
        <v>1</v>
      </c>
      <c r="B5" s="4314" t="s">
        <v>272</v>
      </c>
      <c r="C5" s="4316" t="s">
        <v>273</v>
      </c>
      <c r="D5" s="4314" t="s">
        <v>274</v>
      </c>
      <c r="E5" s="4318" t="s">
        <v>275</v>
      </c>
      <c r="F5" s="4320" t="s">
        <v>276</v>
      </c>
      <c r="G5" s="4318" t="s">
        <v>277</v>
      </c>
      <c r="H5" s="4309" t="s">
        <v>278</v>
      </c>
      <c r="I5" s="4305" t="s">
        <v>279</v>
      </c>
      <c r="J5" s="4307" t="s">
        <v>280</v>
      </c>
      <c r="K5" s="4307" t="s">
        <v>281</v>
      </c>
      <c r="L5" s="4309" t="s">
        <v>282</v>
      </c>
    </row>
    <row r="6" spans="1:13" s="170" customFormat="1" ht="42" customHeight="1" thickBot="1">
      <c r="A6" s="4313"/>
      <c r="B6" s="4315"/>
      <c r="C6" s="4317"/>
      <c r="D6" s="4315"/>
      <c r="E6" s="4319"/>
      <c r="F6" s="4321"/>
      <c r="G6" s="4319"/>
      <c r="H6" s="4310"/>
      <c r="I6" s="4306"/>
      <c r="J6" s="4308"/>
      <c r="K6" s="4308"/>
      <c r="L6" s="4310"/>
    </row>
    <row r="7" spans="1:13" s="179" customFormat="1" ht="12.75" thickBot="1">
      <c r="A7" s="171" t="s">
        <v>133</v>
      </c>
      <c r="B7" s="172" t="s">
        <v>134</v>
      </c>
      <c r="C7" s="173" t="s">
        <v>135</v>
      </c>
      <c r="D7" s="171" t="s">
        <v>136</v>
      </c>
      <c r="E7" s="174" t="s">
        <v>137</v>
      </c>
      <c r="F7" s="175" t="s">
        <v>137</v>
      </c>
      <c r="G7" s="176" t="s">
        <v>283</v>
      </c>
      <c r="H7" s="175" t="s">
        <v>284</v>
      </c>
      <c r="I7" s="177" t="s">
        <v>285</v>
      </c>
      <c r="J7" s="175" t="s">
        <v>268</v>
      </c>
      <c r="K7" s="178" t="s">
        <v>283</v>
      </c>
      <c r="L7" s="175">
        <v>9</v>
      </c>
    </row>
    <row r="8" spans="1:13" ht="15.75" thickBot="1">
      <c r="A8" s="180" t="s">
        <v>140</v>
      </c>
      <c r="B8" s="181"/>
      <c r="C8" s="182" t="s">
        <v>286</v>
      </c>
      <c r="D8" s="183"/>
      <c r="E8" s="184">
        <f t="shared" ref="E8:F8" si="0">SUM(E9,E16,E24,E32,)</f>
        <v>41485000</v>
      </c>
      <c r="F8" s="184">
        <f t="shared" si="0"/>
        <v>41574996</v>
      </c>
      <c r="G8" s="185">
        <f>SUM(G9,G16,G24,G32,)</f>
        <v>45201200</v>
      </c>
      <c r="H8" s="186">
        <f>G8/E8</f>
        <v>1.0895793660359165</v>
      </c>
      <c r="I8" s="184">
        <f t="shared" ref="I8:J8" si="1">SUM(I9,I16,I24,I32,)</f>
        <v>362000</v>
      </c>
      <c r="J8" s="185">
        <f t="shared" si="1"/>
        <v>45563200</v>
      </c>
      <c r="K8" s="187">
        <f>J8/F8</f>
        <v>1.0959279466918048</v>
      </c>
      <c r="L8" s="188"/>
    </row>
    <row r="9" spans="1:13" ht="15.75" thickBot="1">
      <c r="A9" s="189"/>
      <c r="B9" s="190" t="s">
        <v>5</v>
      </c>
      <c r="C9" s="191" t="s">
        <v>287</v>
      </c>
      <c r="D9" s="192"/>
      <c r="E9" s="193">
        <f t="shared" ref="E9:G9" si="2">SUM(E10,E14)</f>
        <v>16400000</v>
      </c>
      <c r="F9" s="193">
        <f t="shared" si="2"/>
        <v>16400000</v>
      </c>
      <c r="G9" s="194">
        <f t="shared" si="2"/>
        <v>21124200</v>
      </c>
      <c r="H9" s="195">
        <f t="shared" ref="H9:H72" si="3">G9/E9</f>
        <v>1.2880609756097561</v>
      </c>
      <c r="I9" s="193">
        <f t="shared" ref="I9:J9" si="4">SUM(I10,I14)</f>
        <v>0</v>
      </c>
      <c r="J9" s="194">
        <f t="shared" si="4"/>
        <v>21124200</v>
      </c>
      <c r="K9" s="196">
        <f t="shared" ref="K9:K72" si="5">J9/F9</f>
        <v>1.2880609756097561</v>
      </c>
      <c r="L9" s="197"/>
    </row>
    <row r="10" spans="1:13" ht="13.5" customHeight="1">
      <c r="A10" s="198"/>
      <c r="B10" s="4202" t="s">
        <v>288</v>
      </c>
      <c r="C10" s="4202"/>
      <c r="D10" s="199"/>
      <c r="E10" s="200">
        <f t="shared" ref="E10:F10" si="6">SUM(E11:E13)</f>
        <v>16400000</v>
      </c>
      <c r="F10" s="200">
        <f t="shared" si="6"/>
        <v>16400000</v>
      </c>
      <c r="G10" s="201">
        <f t="shared" ref="G10" si="7">SUM(G11:G13)</f>
        <v>21124200</v>
      </c>
      <c r="H10" s="202">
        <f t="shared" si="3"/>
        <v>1.2880609756097561</v>
      </c>
      <c r="I10" s="200">
        <f t="shared" ref="I10:J10" si="8">SUM(I11:I13)</f>
        <v>0</v>
      </c>
      <c r="J10" s="201">
        <f t="shared" si="8"/>
        <v>21124200</v>
      </c>
      <c r="K10" s="203">
        <f t="shared" si="5"/>
        <v>1.2880609756097561</v>
      </c>
      <c r="L10" s="204"/>
    </row>
    <row r="11" spans="1:13" ht="15" customHeight="1">
      <c r="A11" s="198"/>
      <c r="B11" s="4232"/>
      <c r="C11" s="4228" t="s">
        <v>289</v>
      </c>
      <c r="D11" s="205" t="s">
        <v>290</v>
      </c>
      <c r="E11" s="206">
        <v>23625</v>
      </c>
      <c r="F11" s="207">
        <v>23625</v>
      </c>
      <c r="G11" s="208">
        <v>17600</v>
      </c>
      <c r="H11" s="209">
        <f t="shared" si="3"/>
        <v>0.74497354497354495</v>
      </c>
      <c r="I11" s="210">
        <v>0</v>
      </c>
      <c r="J11" s="211">
        <f>SUM(G11,I11)</f>
        <v>17600</v>
      </c>
      <c r="K11" s="212">
        <f t="shared" si="5"/>
        <v>0.74497354497354495</v>
      </c>
      <c r="L11" s="4243"/>
    </row>
    <row r="12" spans="1:13" ht="16.5" customHeight="1">
      <c r="A12" s="198"/>
      <c r="B12" s="4233"/>
      <c r="C12" s="4311"/>
      <c r="D12" s="213" t="s">
        <v>291</v>
      </c>
      <c r="E12" s="206">
        <v>16374025</v>
      </c>
      <c r="F12" s="207">
        <v>16374025</v>
      </c>
      <c r="G12" s="208">
        <f>21000000+81000+22400</f>
        <v>21103400</v>
      </c>
      <c r="H12" s="209">
        <f t="shared" si="3"/>
        <v>1.2888339916422504</v>
      </c>
      <c r="I12" s="210">
        <v>0</v>
      </c>
      <c r="J12" s="211">
        <f t="shared" ref="J12:J13" si="9">SUM(G12,I12)</f>
        <v>21103400</v>
      </c>
      <c r="K12" s="212">
        <f t="shared" si="5"/>
        <v>1.2888339916422504</v>
      </c>
      <c r="L12" s="4244"/>
    </row>
    <row r="13" spans="1:13" ht="17.25" customHeight="1">
      <c r="A13" s="198"/>
      <c r="B13" s="4234"/>
      <c r="C13" s="4229"/>
      <c r="D13" s="214" t="s">
        <v>292</v>
      </c>
      <c r="E13" s="206">
        <v>2350</v>
      </c>
      <c r="F13" s="207">
        <v>2350</v>
      </c>
      <c r="G13" s="208">
        <v>3200</v>
      </c>
      <c r="H13" s="209">
        <f t="shared" si="3"/>
        <v>1.3617021276595744</v>
      </c>
      <c r="I13" s="215">
        <v>0</v>
      </c>
      <c r="J13" s="211">
        <f t="shared" si="9"/>
        <v>3200</v>
      </c>
      <c r="K13" s="212">
        <f t="shared" si="5"/>
        <v>1.3617021276595744</v>
      </c>
      <c r="L13" s="4245"/>
      <c r="M13" s="216"/>
    </row>
    <row r="14" spans="1:13" ht="13.5" customHeight="1" thickBot="1">
      <c r="A14" s="198"/>
      <c r="B14" s="4199" t="s">
        <v>293</v>
      </c>
      <c r="C14" s="4282"/>
      <c r="D14" s="217"/>
      <c r="E14" s="218">
        <v>0</v>
      </c>
      <c r="F14" s="219">
        <f t="shared" ref="F14" si="10">SUM(F15)</f>
        <v>0</v>
      </c>
      <c r="G14" s="220">
        <v>0</v>
      </c>
      <c r="H14" s="221"/>
      <c r="I14" s="222">
        <v>0</v>
      </c>
      <c r="J14" s="223">
        <v>0</v>
      </c>
      <c r="K14" s="224"/>
      <c r="L14" s="225"/>
      <c r="M14" s="216"/>
    </row>
    <row r="15" spans="1:13" ht="29.25" hidden="1" customHeight="1" thickBot="1">
      <c r="A15" s="198"/>
      <c r="B15" s="226"/>
      <c r="C15" s="227" t="s">
        <v>294</v>
      </c>
      <c r="D15" s="228" t="s">
        <v>295</v>
      </c>
      <c r="E15" s="229"/>
      <c r="F15" s="230"/>
      <c r="G15" s="231"/>
      <c r="H15" s="186" t="e">
        <f t="shared" si="3"/>
        <v>#DIV/0!</v>
      </c>
      <c r="I15" s="232"/>
      <c r="J15" s="233"/>
      <c r="K15" s="234" t="e">
        <f t="shared" si="5"/>
        <v>#DIV/0!</v>
      </c>
      <c r="L15" s="235"/>
    </row>
    <row r="16" spans="1:13" ht="15.75" thickBot="1">
      <c r="A16" s="198"/>
      <c r="B16" s="190" t="s">
        <v>296</v>
      </c>
      <c r="C16" s="191" t="s">
        <v>297</v>
      </c>
      <c r="D16" s="192"/>
      <c r="E16" s="236">
        <f t="shared" ref="E16:G16" si="11">SUM(E17,E23)</f>
        <v>9000000</v>
      </c>
      <c r="F16" s="236">
        <f t="shared" si="11"/>
        <v>8999996</v>
      </c>
      <c r="G16" s="237">
        <f t="shared" si="11"/>
        <v>8810000</v>
      </c>
      <c r="H16" s="195">
        <f t="shared" si="3"/>
        <v>0.97888888888888892</v>
      </c>
      <c r="I16" s="236">
        <f t="shared" ref="I16:J16" si="12">SUM(I17,I23)</f>
        <v>0</v>
      </c>
      <c r="J16" s="237">
        <f t="shared" si="12"/>
        <v>8810000</v>
      </c>
      <c r="K16" s="238">
        <f t="shared" si="5"/>
        <v>0.97888932395081063</v>
      </c>
      <c r="L16" s="197"/>
    </row>
    <row r="17" spans="1:12" ht="14.25" customHeight="1">
      <c r="A17" s="198"/>
      <c r="B17" s="4201" t="s">
        <v>288</v>
      </c>
      <c r="C17" s="4205"/>
      <c r="D17" s="239"/>
      <c r="E17" s="240">
        <f>SUM(E19:E22)</f>
        <v>9000000</v>
      </c>
      <c r="F17" s="240">
        <f>SUM(F19:F22)</f>
        <v>8999996</v>
      </c>
      <c r="G17" s="241">
        <f>SUM(G19:G22)</f>
        <v>8810000</v>
      </c>
      <c r="H17" s="242">
        <f t="shared" si="3"/>
        <v>0.97888888888888892</v>
      </c>
      <c r="I17" s="240">
        <f>SUM(I19:I22)</f>
        <v>0</v>
      </c>
      <c r="J17" s="241">
        <f>SUM(J19:J22)</f>
        <v>8810000</v>
      </c>
      <c r="K17" s="203">
        <f t="shared" si="5"/>
        <v>0.97888932395081063</v>
      </c>
      <c r="L17" s="204"/>
    </row>
    <row r="18" spans="1:12" ht="25.5" hidden="1">
      <c r="A18" s="198"/>
      <c r="B18" s="243"/>
      <c r="C18" s="244" t="s">
        <v>298</v>
      </c>
      <c r="D18" s="245" t="s">
        <v>299</v>
      </c>
      <c r="E18" s="246"/>
      <c r="F18" s="207"/>
      <c r="G18" s="208"/>
      <c r="H18" s="186" t="e">
        <f t="shared" si="3"/>
        <v>#DIV/0!</v>
      </c>
      <c r="I18" s="232"/>
      <c r="J18" s="233"/>
      <c r="K18" s="212" t="e">
        <f t="shared" si="5"/>
        <v>#DIV/0!</v>
      </c>
      <c r="L18" s="247"/>
    </row>
    <row r="19" spans="1:12" ht="39.75" customHeight="1">
      <c r="A19" s="198"/>
      <c r="B19" s="4232"/>
      <c r="C19" s="248" t="s">
        <v>300</v>
      </c>
      <c r="D19" s="249">
        <v>2058</v>
      </c>
      <c r="E19" s="206">
        <v>5726000</v>
      </c>
      <c r="F19" s="207">
        <v>5726000</v>
      </c>
      <c r="G19" s="208">
        <v>5605000</v>
      </c>
      <c r="H19" s="209">
        <f t="shared" si="3"/>
        <v>0.97886831994411461</v>
      </c>
      <c r="I19" s="210">
        <v>0</v>
      </c>
      <c r="J19" s="211">
        <f>SUM(G19,I19)</f>
        <v>5605000</v>
      </c>
      <c r="K19" s="212">
        <f t="shared" si="5"/>
        <v>0.97886831994411461</v>
      </c>
      <c r="L19" s="4293"/>
    </row>
    <row r="20" spans="1:12" ht="41.25" customHeight="1">
      <c r="A20" s="198"/>
      <c r="B20" s="4233"/>
      <c r="C20" s="248" t="s">
        <v>301</v>
      </c>
      <c r="D20" s="250">
        <v>2059</v>
      </c>
      <c r="E20" s="206">
        <v>3274000</v>
      </c>
      <c r="F20" s="207">
        <v>3273935</v>
      </c>
      <c r="G20" s="208">
        <v>3205000</v>
      </c>
      <c r="H20" s="209">
        <f t="shared" si="3"/>
        <v>0.97892486255345146</v>
      </c>
      <c r="I20" s="215">
        <v>0</v>
      </c>
      <c r="J20" s="211">
        <f t="shared" ref="J20:J22" si="13">SUM(G20,I20)</f>
        <v>3205000</v>
      </c>
      <c r="K20" s="212">
        <f t="shared" si="5"/>
        <v>0.9789442979167271</v>
      </c>
      <c r="L20" s="4294"/>
    </row>
    <row r="21" spans="1:12" ht="51">
      <c r="A21" s="198"/>
      <c r="B21" s="4233"/>
      <c r="C21" s="248" t="s">
        <v>302</v>
      </c>
      <c r="D21" s="249">
        <v>2918</v>
      </c>
      <c r="E21" s="251">
        <v>0</v>
      </c>
      <c r="F21" s="207">
        <v>39</v>
      </c>
      <c r="G21" s="208">
        <v>0</v>
      </c>
      <c r="H21" s="209"/>
      <c r="I21" s="252">
        <v>0</v>
      </c>
      <c r="J21" s="211">
        <f t="shared" si="13"/>
        <v>0</v>
      </c>
      <c r="K21" s="212">
        <f t="shared" si="5"/>
        <v>0</v>
      </c>
      <c r="L21" s="253"/>
    </row>
    <row r="22" spans="1:12" ht="51">
      <c r="A22" s="198"/>
      <c r="B22" s="4234"/>
      <c r="C22" s="248" t="s">
        <v>302</v>
      </c>
      <c r="D22" s="254">
        <v>2919</v>
      </c>
      <c r="E22" s="251">
        <v>0</v>
      </c>
      <c r="F22" s="207">
        <v>22</v>
      </c>
      <c r="G22" s="208">
        <v>0</v>
      </c>
      <c r="H22" s="209"/>
      <c r="I22" s="252">
        <v>0</v>
      </c>
      <c r="J22" s="211">
        <f t="shared" si="13"/>
        <v>0</v>
      </c>
      <c r="K22" s="212">
        <f t="shared" si="5"/>
        <v>0</v>
      </c>
      <c r="L22" s="253"/>
    </row>
    <row r="23" spans="1:12" ht="13.5" customHeight="1" thickBot="1">
      <c r="A23" s="198"/>
      <c r="B23" s="4303" t="s">
        <v>293</v>
      </c>
      <c r="C23" s="4218"/>
      <c r="D23" s="255"/>
      <c r="E23" s="256">
        <v>0</v>
      </c>
      <c r="F23" s="256">
        <v>0</v>
      </c>
      <c r="G23" s="257">
        <v>0</v>
      </c>
      <c r="H23" s="221"/>
      <c r="I23" s="222">
        <v>0</v>
      </c>
      <c r="J23" s="223">
        <v>0</v>
      </c>
      <c r="K23" s="258"/>
      <c r="L23" s="259"/>
    </row>
    <row r="24" spans="1:12" ht="15.75" thickBot="1">
      <c r="A24" s="198"/>
      <c r="B24" s="190" t="s">
        <v>6</v>
      </c>
      <c r="C24" s="191" t="s">
        <v>303</v>
      </c>
      <c r="D24" s="192"/>
      <c r="E24" s="260">
        <f>SUM(E30,E25)</f>
        <v>12500000</v>
      </c>
      <c r="F24" s="260">
        <f>SUM(F30,F25)</f>
        <v>12500000</v>
      </c>
      <c r="G24" s="261">
        <f>SUM(G30,G25)</f>
        <v>12000000</v>
      </c>
      <c r="H24" s="195">
        <f t="shared" si="3"/>
        <v>0.96</v>
      </c>
      <c r="I24" s="193">
        <f>SUM(I30,I25)</f>
        <v>0</v>
      </c>
      <c r="J24" s="194">
        <f>SUM(J30,J25)</f>
        <v>12000000</v>
      </c>
      <c r="K24" s="238">
        <f t="shared" si="5"/>
        <v>0.96</v>
      </c>
      <c r="L24" s="197"/>
    </row>
    <row r="25" spans="1:12" ht="12.75" customHeight="1">
      <c r="A25" s="198"/>
      <c r="B25" s="4304" t="s">
        <v>288</v>
      </c>
      <c r="C25" s="4304"/>
      <c r="D25" s="262"/>
      <c r="E25" s="263">
        <f t="shared" ref="E25:F25" si="14">SUM(E26:E29)</f>
        <v>12500000</v>
      </c>
      <c r="F25" s="263">
        <f t="shared" si="14"/>
        <v>12500000</v>
      </c>
      <c r="G25" s="264">
        <f t="shared" ref="G25" si="15">SUM(G26:G29)</f>
        <v>12000000</v>
      </c>
      <c r="H25" s="202">
        <f t="shared" si="3"/>
        <v>0.96</v>
      </c>
      <c r="I25" s="263">
        <f t="shared" ref="I25:J25" si="16">SUM(I26:I29)</f>
        <v>0</v>
      </c>
      <c r="J25" s="264">
        <f t="shared" si="16"/>
        <v>12000000</v>
      </c>
      <c r="K25" s="203">
        <f t="shared" si="5"/>
        <v>0.96</v>
      </c>
      <c r="L25" s="204"/>
    </row>
    <row r="26" spans="1:12" ht="16.5" customHeight="1">
      <c r="A26" s="198"/>
      <c r="B26" s="4298"/>
      <c r="C26" s="265" t="s">
        <v>304</v>
      </c>
      <c r="D26" s="205" t="s">
        <v>305</v>
      </c>
      <c r="E26" s="206">
        <v>12500000</v>
      </c>
      <c r="F26" s="207">
        <v>12500000</v>
      </c>
      <c r="G26" s="208">
        <v>12000000</v>
      </c>
      <c r="H26" s="209">
        <f t="shared" si="3"/>
        <v>0.96</v>
      </c>
      <c r="I26" s="252">
        <v>0</v>
      </c>
      <c r="J26" s="211">
        <f t="shared" ref="J26" si="17">SUM(G26,I26)</f>
        <v>12000000</v>
      </c>
      <c r="K26" s="212">
        <f t="shared" si="5"/>
        <v>0.96</v>
      </c>
      <c r="L26" s="253"/>
    </row>
    <row r="27" spans="1:12" hidden="1">
      <c r="A27" s="198"/>
      <c r="B27" s="4299"/>
      <c r="C27" s="266"/>
      <c r="D27" s="267"/>
      <c r="E27" s="268"/>
      <c r="F27" s="230"/>
      <c r="G27" s="208"/>
      <c r="H27" s="269" t="e">
        <f t="shared" si="3"/>
        <v>#DIV/0!</v>
      </c>
      <c r="I27" s="232"/>
      <c r="J27" s="233"/>
      <c r="K27" s="212" t="e">
        <f t="shared" si="5"/>
        <v>#DIV/0!</v>
      </c>
      <c r="L27" s="253"/>
    </row>
    <row r="28" spans="1:12" ht="13.5" hidden="1" customHeight="1">
      <c r="A28" s="198"/>
      <c r="B28" s="270"/>
      <c r="C28" s="271" t="s">
        <v>306</v>
      </c>
      <c r="D28" s="272" t="s">
        <v>307</v>
      </c>
      <c r="E28" s="273"/>
      <c r="F28" s="230"/>
      <c r="G28" s="208"/>
      <c r="H28" s="186" t="e">
        <f t="shared" si="3"/>
        <v>#DIV/0!</v>
      </c>
      <c r="I28" s="232"/>
      <c r="J28" s="233"/>
      <c r="K28" s="212" t="e">
        <f t="shared" si="5"/>
        <v>#DIV/0!</v>
      </c>
      <c r="L28" s="247"/>
    </row>
    <row r="29" spans="1:12" ht="13.5" hidden="1" customHeight="1" thickBot="1">
      <c r="A29" s="198"/>
      <c r="B29" s="274"/>
      <c r="C29" s="275" t="s">
        <v>308</v>
      </c>
      <c r="D29" s="267" t="s">
        <v>309</v>
      </c>
      <c r="E29" s="268"/>
      <c r="F29" s="230"/>
      <c r="G29" s="208"/>
      <c r="H29" s="186" t="e">
        <f t="shared" si="3"/>
        <v>#DIV/0!</v>
      </c>
      <c r="I29" s="232"/>
      <c r="J29" s="233"/>
      <c r="K29" s="212" t="e">
        <f t="shared" si="5"/>
        <v>#DIV/0!</v>
      </c>
      <c r="L29" s="247"/>
    </row>
    <row r="30" spans="1:12" ht="13.5" customHeight="1" thickBot="1">
      <c r="A30" s="198"/>
      <c r="B30" s="4300" t="s">
        <v>293</v>
      </c>
      <c r="C30" s="4301"/>
      <c r="D30" s="276"/>
      <c r="E30" s="277">
        <v>0</v>
      </c>
      <c r="F30" s="277">
        <f t="shared" ref="F30" si="18">SUM(F31)</f>
        <v>0</v>
      </c>
      <c r="G30" s="257">
        <v>0</v>
      </c>
      <c r="H30" s="278"/>
      <c r="I30" s="222">
        <v>0</v>
      </c>
      <c r="J30" s="223">
        <v>0</v>
      </c>
      <c r="K30" s="224"/>
      <c r="L30" s="279"/>
    </row>
    <row r="31" spans="1:12" ht="26.25" hidden="1" thickBot="1">
      <c r="A31" s="198"/>
      <c r="B31" s="280"/>
      <c r="C31" s="281" t="s">
        <v>310</v>
      </c>
      <c r="D31" s="282"/>
      <c r="E31" s="283"/>
      <c r="F31" s="284"/>
      <c r="G31" s="285"/>
      <c r="H31" s="186" t="e">
        <f t="shared" si="3"/>
        <v>#DIV/0!</v>
      </c>
      <c r="I31" s="286"/>
      <c r="J31" s="287"/>
      <c r="K31" s="234" t="e">
        <f t="shared" si="5"/>
        <v>#DIV/0!</v>
      </c>
      <c r="L31" s="288"/>
    </row>
    <row r="32" spans="1:12" ht="15.75" thickBot="1">
      <c r="A32" s="198"/>
      <c r="B32" s="289" t="s">
        <v>311</v>
      </c>
      <c r="C32" s="191" t="s">
        <v>312</v>
      </c>
      <c r="D32" s="192"/>
      <c r="E32" s="236">
        <f>E33+E38</f>
        <v>3585000</v>
      </c>
      <c r="F32" s="236">
        <f>F33+F38</f>
        <v>3675000</v>
      </c>
      <c r="G32" s="237">
        <f t="shared" ref="G32" si="19">G33+G38</f>
        <v>3267000</v>
      </c>
      <c r="H32" s="195">
        <f t="shared" si="3"/>
        <v>0.91129707112970715</v>
      </c>
      <c r="I32" s="236">
        <f>I33+I38</f>
        <v>362000</v>
      </c>
      <c r="J32" s="237">
        <f>J33+J38</f>
        <v>3629000</v>
      </c>
      <c r="K32" s="238">
        <f t="shared" si="5"/>
        <v>0.98748299319727895</v>
      </c>
      <c r="L32" s="290"/>
    </row>
    <row r="33" spans="1:12">
      <c r="A33" s="198"/>
      <c r="B33" s="4201" t="s">
        <v>288</v>
      </c>
      <c r="C33" s="4205"/>
      <c r="D33" s="291"/>
      <c r="E33" s="218">
        <f>SUM(E34:E37)</f>
        <v>3585000</v>
      </c>
      <c r="F33" s="218">
        <f>SUM(F34:F37)</f>
        <v>3675000</v>
      </c>
      <c r="G33" s="292">
        <f>SUM(G34:G37)</f>
        <v>3267000</v>
      </c>
      <c r="H33" s="293">
        <f t="shared" si="3"/>
        <v>0.91129707112970715</v>
      </c>
      <c r="I33" s="218">
        <f>SUM(I34:I37)</f>
        <v>362000</v>
      </c>
      <c r="J33" s="292">
        <f>SUM(J34:J37)</f>
        <v>3629000</v>
      </c>
      <c r="K33" s="203">
        <f t="shared" si="5"/>
        <v>0.98748299319727895</v>
      </c>
      <c r="L33" s="294"/>
    </row>
    <row r="34" spans="1:12" ht="54" hidden="1" customHeight="1">
      <c r="A34" s="198"/>
      <c r="B34" s="270"/>
      <c r="C34" s="295" t="s">
        <v>313</v>
      </c>
      <c r="D34" s="296" t="s">
        <v>314</v>
      </c>
      <c r="E34" s="268">
        <v>0</v>
      </c>
      <c r="F34" s="207"/>
      <c r="G34" s="208"/>
      <c r="H34" s="269" t="e">
        <f t="shared" si="3"/>
        <v>#DIV/0!</v>
      </c>
      <c r="I34" s="286"/>
      <c r="J34" s="287"/>
      <c r="K34" s="212" t="e">
        <f t="shared" si="5"/>
        <v>#DIV/0!</v>
      </c>
      <c r="L34" s="297"/>
    </row>
    <row r="35" spans="1:12" ht="40.5" customHeight="1">
      <c r="A35" s="198"/>
      <c r="B35" s="270"/>
      <c r="C35" s="298" t="s">
        <v>315</v>
      </c>
      <c r="D35" s="299">
        <v>2210</v>
      </c>
      <c r="E35" s="206">
        <v>3585000</v>
      </c>
      <c r="F35" s="207">
        <f>3585000</f>
        <v>3585000</v>
      </c>
      <c r="G35" s="208">
        <v>3267000</v>
      </c>
      <c r="H35" s="209">
        <f t="shared" si="3"/>
        <v>0.91129707112970715</v>
      </c>
      <c r="I35" s="252">
        <v>362000</v>
      </c>
      <c r="J35" s="211">
        <f t="shared" ref="J35" si="20">SUM(G35,I35)</f>
        <v>3629000</v>
      </c>
      <c r="K35" s="212">
        <f t="shared" si="5"/>
        <v>1.012273361227336</v>
      </c>
      <c r="L35" s="300"/>
    </row>
    <row r="36" spans="1:12" ht="30" hidden="1" customHeight="1">
      <c r="A36" s="198"/>
      <c r="B36" s="270"/>
      <c r="C36" s="301" t="s">
        <v>316</v>
      </c>
      <c r="D36" s="302">
        <v>2460</v>
      </c>
      <c r="E36" s="268">
        <v>0</v>
      </c>
      <c r="F36" s="207"/>
      <c r="G36" s="231"/>
      <c r="H36" s="209" t="e">
        <f t="shared" si="3"/>
        <v>#DIV/0!</v>
      </c>
      <c r="I36" s="252"/>
      <c r="J36" s="211"/>
      <c r="K36" s="212" t="e">
        <f t="shared" si="5"/>
        <v>#DIV/0!</v>
      </c>
      <c r="L36" s="247"/>
    </row>
    <row r="37" spans="1:12" ht="30" customHeight="1">
      <c r="A37" s="198"/>
      <c r="B37" s="303"/>
      <c r="C37" s="304" t="s">
        <v>316</v>
      </c>
      <c r="D37" s="305">
        <v>2460</v>
      </c>
      <c r="E37" s="251">
        <v>0</v>
      </c>
      <c r="F37" s="207">
        <v>90000</v>
      </c>
      <c r="G37" s="306">
        <v>0</v>
      </c>
      <c r="H37" s="209"/>
      <c r="I37" s="252">
        <v>0</v>
      </c>
      <c r="J37" s="211">
        <f t="shared" ref="J37" si="21">SUM(G37,I37)</f>
        <v>0</v>
      </c>
      <c r="K37" s="212">
        <f t="shared" si="5"/>
        <v>0</v>
      </c>
      <c r="L37" s="247"/>
    </row>
    <row r="38" spans="1:12" ht="15.75" thickBot="1">
      <c r="A38" s="307"/>
      <c r="B38" s="4217" t="s">
        <v>293</v>
      </c>
      <c r="C38" s="4218"/>
      <c r="D38" s="255"/>
      <c r="E38" s="256">
        <v>0</v>
      </c>
      <c r="F38" s="308">
        <v>0</v>
      </c>
      <c r="G38" s="257">
        <v>0</v>
      </c>
      <c r="H38" s="278"/>
      <c r="I38" s="222">
        <v>0</v>
      </c>
      <c r="J38" s="223">
        <v>0</v>
      </c>
      <c r="K38" s="258"/>
      <c r="L38" s="279"/>
    </row>
    <row r="39" spans="1:12" ht="15.75" customHeight="1" thickBot="1">
      <c r="A39" s="309" t="s">
        <v>317</v>
      </c>
      <c r="B39" s="310"/>
      <c r="C39" s="311" t="s">
        <v>318</v>
      </c>
      <c r="D39" s="312"/>
      <c r="E39" s="184">
        <f t="shared" ref="E39:J39" si="22">SUM(E40)</f>
        <v>500000</v>
      </c>
      <c r="F39" s="184">
        <f t="shared" si="22"/>
        <v>500000</v>
      </c>
      <c r="G39" s="185">
        <f t="shared" si="22"/>
        <v>400000</v>
      </c>
      <c r="H39" s="186">
        <f t="shared" si="3"/>
        <v>0.8</v>
      </c>
      <c r="I39" s="184">
        <f t="shared" si="22"/>
        <v>0</v>
      </c>
      <c r="J39" s="185">
        <f t="shared" si="22"/>
        <v>400000</v>
      </c>
      <c r="K39" s="187">
        <f t="shared" si="5"/>
        <v>0.8</v>
      </c>
      <c r="L39" s="188"/>
    </row>
    <row r="40" spans="1:12" ht="51.75" thickBot="1">
      <c r="A40" s="4295"/>
      <c r="B40" s="313" t="s">
        <v>319</v>
      </c>
      <c r="C40" s="191" t="s">
        <v>320</v>
      </c>
      <c r="D40" s="192"/>
      <c r="E40" s="314">
        <f>SUM(E41,E44)</f>
        <v>500000</v>
      </c>
      <c r="F40" s="314">
        <f>SUM(F41,F44)</f>
        <v>500000</v>
      </c>
      <c r="G40" s="315">
        <f>SUM(G41,G44)</f>
        <v>400000</v>
      </c>
      <c r="H40" s="195">
        <f t="shared" si="3"/>
        <v>0.8</v>
      </c>
      <c r="I40" s="314">
        <f>SUM(I41,I44)</f>
        <v>0</v>
      </c>
      <c r="J40" s="315">
        <f>SUM(J41,J44)</f>
        <v>400000</v>
      </c>
      <c r="K40" s="238">
        <f t="shared" si="5"/>
        <v>0.8</v>
      </c>
      <c r="L40" s="197"/>
    </row>
    <row r="41" spans="1:12">
      <c r="A41" s="4296"/>
      <c r="B41" s="4201" t="s">
        <v>288</v>
      </c>
      <c r="C41" s="4205"/>
      <c r="D41" s="239"/>
      <c r="E41" s="240">
        <f>SUM(E42:E43)</f>
        <v>500000</v>
      </c>
      <c r="F41" s="240">
        <f>SUM(F42:F43)</f>
        <v>500000</v>
      </c>
      <c r="G41" s="241">
        <f t="shared" ref="G41" si="23">SUM(G42:G43)</f>
        <v>400000</v>
      </c>
      <c r="H41" s="293">
        <f t="shared" si="3"/>
        <v>0.8</v>
      </c>
      <c r="I41" s="240">
        <f>SUM(I42:I43)</f>
        <v>0</v>
      </c>
      <c r="J41" s="241">
        <f>SUM(J42:J43)</f>
        <v>400000</v>
      </c>
      <c r="K41" s="203">
        <f t="shared" si="5"/>
        <v>0.8</v>
      </c>
      <c r="L41" s="204"/>
    </row>
    <row r="42" spans="1:12" ht="41.25" customHeight="1">
      <c r="A42" s="4296"/>
      <c r="B42" s="4302"/>
      <c r="C42" s="316" t="s">
        <v>321</v>
      </c>
      <c r="D42" s="317">
        <v>2058</v>
      </c>
      <c r="E42" s="206">
        <v>375000</v>
      </c>
      <c r="F42" s="207">
        <v>375000</v>
      </c>
      <c r="G42" s="208">
        <v>300000</v>
      </c>
      <c r="H42" s="209">
        <f t="shared" si="3"/>
        <v>0.8</v>
      </c>
      <c r="I42" s="210">
        <v>0</v>
      </c>
      <c r="J42" s="211">
        <f t="shared" ref="J42:J43" si="24">SUM(G42,I42)</f>
        <v>300000</v>
      </c>
      <c r="K42" s="212">
        <f t="shared" si="5"/>
        <v>0.8</v>
      </c>
      <c r="L42" s="4293"/>
    </row>
    <row r="43" spans="1:12" ht="39.75" customHeight="1">
      <c r="A43" s="4296"/>
      <c r="B43" s="4302"/>
      <c r="C43" s="316" t="s">
        <v>322</v>
      </c>
      <c r="D43" s="317">
        <v>2059</v>
      </c>
      <c r="E43" s="206">
        <v>125000</v>
      </c>
      <c r="F43" s="207">
        <v>125000</v>
      </c>
      <c r="G43" s="208">
        <v>100000</v>
      </c>
      <c r="H43" s="209">
        <f t="shared" si="3"/>
        <v>0.8</v>
      </c>
      <c r="I43" s="215">
        <v>0</v>
      </c>
      <c r="J43" s="211">
        <f t="shared" si="24"/>
        <v>100000</v>
      </c>
      <c r="K43" s="212">
        <f t="shared" si="5"/>
        <v>0.8</v>
      </c>
      <c r="L43" s="4294"/>
    </row>
    <row r="44" spans="1:12" ht="15.75" thickBot="1">
      <c r="A44" s="4297"/>
      <c r="B44" s="4217" t="s">
        <v>293</v>
      </c>
      <c r="C44" s="4218"/>
      <c r="D44" s="318"/>
      <c r="E44" s="256">
        <v>0</v>
      </c>
      <c r="F44" s="256">
        <v>0</v>
      </c>
      <c r="G44" s="319">
        <v>0</v>
      </c>
      <c r="H44" s="278"/>
      <c r="I44" s="222">
        <v>0</v>
      </c>
      <c r="J44" s="223">
        <v>0</v>
      </c>
      <c r="K44" s="258"/>
      <c r="L44" s="259"/>
    </row>
    <row r="45" spans="1:12" ht="15.75" customHeight="1" thickBot="1">
      <c r="A45" s="309" t="s">
        <v>323</v>
      </c>
      <c r="B45" s="310"/>
      <c r="C45" s="320" t="s">
        <v>324</v>
      </c>
      <c r="D45" s="312"/>
      <c r="E45" s="321">
        <f t="shared" ref="E45:J45" si="25">SUM(E46)</f>
        <v>1526</v>
      </c>
      <c r="F45" s="321">
        <f t="shared" si="25"/>
        <v>1526</v>
      </c>
      <c r="G45" s="322">
        <f t="shared" si="25"/>
        <v>2211</v>
      </c>
      <c r="H45" s="269">
        <f t="shared" si="3"/>
        <v>1.4488859764089121</v>
      </c>
      <c r="I45" s="321">
        <f t="shared" si="25"/>
        <v>0</v>
      </c>
      <c r="J45" s="322">
        <f t="shared" si="25"/>
        <v>2211</v>
      </c>
      <c r="K45" s="187">
        <f t="shared" si="5"/>
        <v>1.4488859764089121</v>
      </c>
      <c r="L45" s="323"/>
    </row>
    <row r="46" spans="1:12" ht="15" customHeight="1" thickBot="1">
      <c r="A46" s="4295"/>
      <c r="B46" s="289" t="s">
        <v>325</v>
      </c>
      <c r="C46" s="191" t="s">
        <v>312</v>
      </c>
      <c r="D46" s="192"/>
      <c r="E46" s="236">
        <f>SUM(E49,E47)</f>
        <v>1526</v>
      </c>
      <c r="F46" s="236">
        <f>SUM(F49,F47)</f>
        <v>1526</v>
      </c>
      <c r="G46" s="237">
        <f>SUM(G49,G47)</f>
        <v>2211</v>
      </c>
      <c r="H46" s="195">
        <f t="shared" si="3"/>
        <v>1.4488859764089121</v>
      </c>
      <c r="I46" s="236">
        <f>SUM(I49,I47)</f>
        <v>0</v>
      </c>
      <c r="J46" s="237">
        <f>SUM(J49,J47)</f>
        <v>2211</v>
      </c>
      <c r="K46" s="238">
        <f t="shared" si="5"/>
        <v>1.4488859764089121</v>
      </c>
      <c r="L46" s="290"/>
    </row>
    <row r="47" spans="1:12">
      <c r="A47" s="4296"/>
      <c r="B47" s="4222" t="s">
        <v>288</v>
      </c>
      <c r="C47" s="4223"/>
      <c r="D47" s="324"/>
      <c r="E47" s="325">
        <f>SUM(E48:E48)</f>
        <v>1526</v>
      </c>
      <c r="F47" s="325">
        <f>SUM(F48:F48)</f>
        <v>1526</v>
      </c>
      <c r="G47" s="326">
        <f>SUM(G48:G48)</f>
        <v>2211</v>
      </c>
      <c r="H47" s="293">
        <f t="shared" si="3"/>
        <v>1.4488859764089121</v>
      </c>
      <c r="I47" s="325">
        <f>SUM(I48:I48)</f>
        <v>0</v>
      </c>
      <c r="J47" s="326">
        <f>SUM(J48:J48)</f>
        <v>2211</v>
      </c>
      <c r="K47" s="203">
        <f t="shared" si="5"/>
        <v>1.4488859764089121</v>
      </c>
      <c r="L47" s="294"/>
    </row>
    <row r="48" spans="1:12" ht="42.75" customHeight="1">
      <c r="A48" s="4296"/>
      <c r="B48" s="327"/>
      <c r="C48" s="328" t="s">
        <v>326</v>
      </c>
      <c r="D48" s="305">
        <v>2360</v>
      </c>
      <c r="E48" s="206">
        <v>1526</v>
      </c>
      <c r="F48" s="207">
        <v>1526</v>
      </c>
      <c r="G48" s="208">
        <v>2211</v>
      </c>
      <c r="H48" s="209">
        <f t="shared" si="3"/>
        <v>1.4488859764089121</v>
      </c>
      <c r="I48" s="252">
        <v>0</v>
      </c>
      <c r="J48" s="211">
        <f t="shared" ref="J48" si="26">SUM(G48,I48)</f>
        <v>2211</v>
      </c>
      <c r="K48" s="212">
        <f t="shared" si="5"/>
        <v>1.4488859764089121</v>
      </c>
      <c r="L48" s="300"/>
    </row>
    <row r="49" spans="1:12" ht="15.75" thickBot="1">
      <c r="A49" s="4297"/>
      <c r="B49" s="4217" t="s">
        <v>327</v>
      </c>
      <c r="C49" s="4218"/>
      <c r="D49" s="255"/>
      <c r="E49" s="277">
        <v>0</v>
      </c>
      <c r="F49" s="277">
        <v>0</v>
      </c>
      <c r="G49" s="257">
        <v>0</v>
      </c>
      <c r="H49" s="278"/>
      <c r="I49" s="222">
        <v>0</v>
      </c>
      <c r="J49" s="329">
        <v>0</v>
      </c>
      <c r="K49" s="258"/>
      <c r="L49" s="279"/>
    </row>
    <row r="50" spans="1:12" ht="15.75" thickBot="1">
      <c r="A50" s="309" t="s">
        <v>328</v>
      </c>
      <c r="B50" s="330"/>
      <c r="C50" s="331" t="s">
        <v>329</v>
      </c>
      <c r="D50" s="332"/>
      <c r="E50" s="333">
        <f>SUM(E51)</f>
        <v>0</v>
      </c>
      <c r="F50" s="333">
        <f>SUM(F51)</f>
        <v>79380</v>
      </c>
      <c r="G50" s="334">
        <f>SUM(G51)</f>
        <v>0</v>
      </c>
      <c r="H50" s="269"/>
      <c r="I50" s="334">
        <f>SUM(I51)</f>
        <v>0</v>
      </c>
      <c r="J50" s="335">
        <f>SUM(J51)</f>
        <v>0</v>
      </c>
      <c r="K50" s="187">
        <f t="shared" si="5"/>
        <v>0</v>
      </c>
      <c r="L50" s="323"/>
    </row>
    <row r="51" spans="1:12" ht="15.75" thickBot="1">
      <c r="A51" s="336"/>
      <c r="B51" s="337" t="s">
        <v>330</v>
      </c>
      <c r="C51" s="338" t="s">
        <v>331</v>
      </c>
      <c r="D51" s="339"/>
      <c r="E51" s="193">
        <f>SUM(E56,E52)</f>
        <v>0</v>
      </c>
      <c r="F51" s="193">
        <f>SUM(F56,F52)</f>
        <v>79380</v>
      </c>
      <c r="G51" s="194">
        <f>SUM(G56,G52)</f>
        <v>0</v>
      </c>
      <c r="H51" s="195"/>
      <c r="I51" s="193">
        <f>SUM(I56,I52)</f>
        <v>0</v>
      </c>
      <c r="J51" s="194">
        <f>SUM(J56,J52)</f>
        <v>0</v>
      </c>
      <c r="K51" s="238">
        <f t="shared" si="5"/>
        <v>0</v>
      </c>
      <c r="L51" s="290"/>
    </row>
    <row r="52" spans="1:12">
      <c r="A52" s="340"/>
      <c r="B52" s="4247" t="s">
        <v>288</v>
      </c>
      <c r="C52" s="4247"/>
      <c r="D52" s="341"/>
      <c r="E52" s="342">
        <f>SUM(E54:E55)</f>
        <v>0</v>
      </c>
      <c r="F52" s="342">
        <f t="shared" ref="F52:G52" si="27">SUM(F54:F55)</f>
        <v>15940</v>
      </c>
      <c r="G52" s="343">
        <f t="shared" si="27"/>
        <v>0</v>
      </c>
      <c r="H52" s="344"/>
      <c r="I52" s="342">
        <f>SUM(I54:I55)</f>
        <v>0</v>
      </c>
      <c r="J52" s="343">
        <f>SUM(J54:J55)</f>
        <v>0</v>
      </c>
      <c r="K52" s="203">
        <f t="shared" si="5"/>
        <v>0</v>
      </c>
      <c r="L52" s="294"/>
    </row>
    <row r="53" spans="1:12" ht="15" hidden="1" customHeight="1">
      <c r="A53" s="340"/>
      <c r="B53" s="4232"/>
      <c r="C53" s="345"/>
      <c r="D53" s="249"/>
      <c r="E53" s="346"/>
      <c r="F53" s="347"/>
      <c r="G53" s="208"/>
      <c r="H53" s="209"/>
      <c r="I53" s="252"/>
      <c r="J53" s="211"/>
      <c r="K53" s="212" t="e">
        <f t="shared" si="5"/>
        <v>#DIV/0!</v>
      </c>
      <c r="L53" s="297"/>
    </row>
    <row r="54" spans="1:12" ht="51">
      <c r="A54" s="340"/>
      <c r="B54" s="4233"/>
      <c r="C54" s="348" t="s">
        <v>332</v>
      </c>
      <c r="D54" s="249">
        <v>2919</v>
      </c>
      <c r="E54" s="346">
        <v>0</v>
      </c>
      <c r="F54" s="347">
        <v>4269</v>
      </c>
      <c r="G54" s="208">
        <v>0</v>
      </c>
      <c r="H54" s="209"/>
      <c r="I54" s="252">
        <v>0</v>
      </c>
      <c r="J54" s="211">
        <f t="shared" ref="J54:J55" si="28">SUM(G54,I54)</f>
        <v>0</v>
      </c>
      <c r="K54" s="212">
        <f t="shared" si="5"/>
        <v>0</v>
      </c>
      <c r="L54" s="300"/>
    </row>
    <row r="55" spans="1:12" ht="54.95" customHeight="1" thickBot="1">
      <c r="A55" s="349"/>
      <c r="B55" s="4285"/>
      <c r="C55" s="350" t="s">
        <v>333</v>
      </c>
      <c r="D55" s="351">
        <v>2959</v>
      </c>
      <c r="E55" s="352">
        <v>0</v>
      </c>
      <c r="F55" s="353">
        <v>11671</v>
      </c>
      <c r="G55" s="354">
        <v>0</v>
      </c>
      <c r="H55" s="355"/>
      <c r="I55" s="356">
        <v>0</v>
      </c>
      <c r="J55" s="357">
        <f t="shared" si="28"/>
        <v>0</v>
      </c>
      <c r="K55" s="358">
        <f t="shared" si="5"/>
        <v>0</v>
      </c>
      <c r="L55" s="300"/>
    </row>
    <row r="56" spans="1:12">
      <c r="A56" s="336"/>
      <c r="B56" s="4286" t="s">
        <v>334</v>
      </c>
      <c r="C56" s="4287"/>
      <c r="D56" s="239"/>
      <c r="E56" s="359">
        <f>SUM(E57:E58)</f>
        <v>0</v>
      </c>
      <c r="F56" s="359">
        <f t="shared" ref="F56:G56" si="29">SUM(F57:F58)</f>
        <v>63440</v>
      </c>
      <c r="G56" s="360">
        <f t="shared" si="29"/>
        <v>0</v>
      </c>
      <c r="H56" s="344"/>
      <c r="I56" s="359">
        <f>SUM(I57:I58)</f>
        <v>0</v>
      </c>
      <c r="J56" s="360">
        <f>SUM(J57:J58)</f>
        <v>0</v>
      </c>
      <c r="K56" s="361">
        <f t="shared" si="5"/>
        <v>0</v>
      </c>
      <c r="L56" s="294"/>
    </row>
    <row r="57" spans="1:12" ht="63.75">
      <c r="A57" s="340"/>
      <c r="B57" s="362"/>
      <c r="C57" s="363" t="s">
        <v>335</v>
      </c>
      <c r="D57" s="4288">
        <v>6669</v>
      </c>
      <c r="E57" s="364">
        <v>0</v>
      </c>
      <c r="F57" s="365">
        <v>1146</v>
      </c>
      <c r="G57" s="366">
        <v>0</v>
      </c>
      <c r="H57" s="209"/>
      <c r="I57" s="252">
        <v>0</v>
      </c>
      <c r="J57" s="211">
        <f t="shared" ref="J57:J58" si="30">SUM(G57,I57)</f>
        <v>0</v>
      </c>
      <c r="K57" s="212">
        <f t="shared" si="5"/>
        <v>0</v>
      </c>
      <c r="L57" s="300"/>
    </row>
    <row r="58" spans="1:12" ht="64.5" thickBot="1">
      <c r="A58" s="349"/>
      <c r="B58" s="367"/>
      <c r="C58" s="368" t="s">
        <v>336</v>
      </c>
      <c r="D58" s="4289"/>
      <c r="E58" s="352">
        <v>0</v>
      </c>
      <c r="F58" s="353">
        <v>62294</v>
      </c>
      <c r="G58" s="354">
        <v>0</v>
      </c>
      <c r="H58" s="355"/>
      <c r="I58" s="356">
        <v>0</v>
      </c>
      <c r="J58" s="357">
        <f t="shared" si="30"/>
        <v>0</v>
      </c>
      <c r="K58" s="358">
        <f t="shared" si="5"/>
        <v>0</v>
      </c>
      <c r="L58" s="369"/>
    </row>
    <row r="59" spans="1:12" ht="16.5" hidden="1" customHeight="1">
      <c r="A59" s="198"/>
      <c r="B59" s="370" t="s">
        <v>337</v>
      </c>
      <c r="C59" s="371" t="s">
        <v>338</v>
      </c>
      <c r="D59" s="371"/>
      <c r="E59" s="372"/>
      <c r="F59" s="373"/>
      <c r="G59" s="374"/>
      <c r="H59" s="269" t="e">
        <f t="shared" si="3"/>
        <v>#DIV/0!</v>
      </c>
      <c r="I59" s="286"/>
      <c r="J59" s="287"/>
      <c r="K59" s="375" t="e">
        <f t="shared" si="5"/>
        <v>#DIV/0!</v>
      </c>
      <c r="L59" s="376"/>
    </row>
    <row r="60" spans="1:12" ht="16.5" hidden="1" customHeight="1">
      <c r="A60" s="198"/>
      <c r="B60" s="4290" t="s">
        <v>288</v>
      </c>
      <c r="C60" s="4290"/>
      <c r="D60" s="377"/>
      <c r="E60" s="378"/>
      <c r="F60" s="379"/>
      <c r="G60" s="380"/>
      <c r="H60" s="186" t="e">
        <f t="shared" si="3"/>
        <v>#DIV/0!</v>
      </c>
      <c r="I60" s="286"/>
      <c r="J60" s="287"/>
      <c r="K60" s="212" t="e">
        <f t="shared" si="5"/>
        <v>#DIV/0!</v>
      </c>
      <c r="L60" s="247"/>
    </row>
    <row r="61" spans="1:12" ht="51.75" hidden="1" thickBot="1">
      <c r="A61" s="198"/>
      <c r="B61" s="381"/>
      <c r="C61" s="382" t="s">
        <v>339</v>
      </c>
      <c r="D61" s="383" t="s">
        <v>340</v>
      </c>
      <c r="E61" s="268"/>
      <c r="F61" s="384"/>
      <c r="G61" s="231"/>
      <c r="H61" s="186" t="e">
        <f t="shared" si="3"/>
        <v>#DIV/0!</v>
      </c>
      <c r="I61" s="286"/>
      <c r="J61" s="287"/>
      <c r="K61" s="212" t="e">
        <f t="shared" si="5"/>
        <v>#DIV/0!</v>
      </c>
      <c r="L61" s="247"/>
    </row>
    <row r="62" spans="1:12" ht="51" hidden="1" customHeight="1">
      <c r="A62" s="198"/>
      <c r="B62" s="385"/>
      <c r="C62" s="382" t="s">
        <v>341</v>
      </c>
      <c r="D62" s="383">
        <v>2919</v>
      </c>
      <c r="E62" s="268">
        <v>0</v>
      </c>
      <c r="F62" s="384">
        <v>0</v>
      </c>
      <c r="G62" s="231"/>
      <c r="H62" s="186" t="e">
        <f t="shared" si="3"/>
        <v>#DIV/0!</v>
      </c>
      <c r="I62" s="286"/>
      <c r="J62" s="287"/>
      <c r="K62" s="212" t="e">
        <f t="shared" si="5"/>
        <v>#DIV/0!</v>
      </c>
      <c r="L62" s="247"/>
    </row>
    <row r="63" spans="1:12" ht="0.75" hidden="1" customHeight="1">
      <c r="A63" s="198"/>
      <c r="B63" s="385"/>
      <c r="C63" s="382" t="s">
        <v>342</v>
      </c>
      <c r="D63" s="383">
        <v>2957</v>
      </c>
      <c r="E63" s="268"/>
      <c r="F63" s="384">
        <v>0</v>
      </c>
      <c r="G63" s="231"/>
      <c r="H63" s="186" t="e">
        <f t="shared" si="3"/>
        <v>#DIV/0!</v>
      </c>
      <c r="I63" s="286"/>
      <c r="J63" s="287"/>
      <c r="K63" s="212" t="e">
        <f t="shared" si="5"/>
        <v>#DIV/0!</v>
      </c>
      <c r="L63" s="247"/>
    </row>
    <row r="64" spans="1:12" ht="63.75" hidden="1" customHeight="1">
      <c r="A64" s="198"/>
      <c r="B64" s="386"/>
      <c r="C64" s="275" t="s">
        <v>343</v>
      </c>
      <c r="D64" s="383">
        <v>6660</v>
      </c>
      <c r="E64" s="268"/>
      <c r="F64" s="384"/>
      <c r="G64" s="231"/>
      <c r="H64" s="186" t="e">
        <f t="shared" si="3"/>
        <v>#DIV/0!</v>
      </c>
      <c r="I64" s="286"/>
      <c r="J64" s="287"/>
      <c r="K64" s="212" t="e">
        <f t="shared" si="5"/>
        <v>#DIV/0!</v>
      </c>
      <c r="L64" s="247"/>
    </row>
    <row r="65" spans="1:14" ht="15" hidden="1" customHeight="1" thickBot="1">
      <c r="A65" s="198"/>
      <c r="B65" s="4291" t="s">
        <v>334</v>
      </c>
      <c r="C65" s="4292"/>
      <c r="D65" s="387"/>
      <c r="E65" s="388">
        <v>0</v>
      </c>
      <c r="F65" s="389">
        <v>0</v>
      </c>
      <c r="G65" s="390">
        <v>0</v>
      </c>
      <c r="H65" s="186" t="e">
        <f t="shared" si="3"/>
        <v>#DIV/0!</v>
      </c>
      <c r="I65" s="286"/>
      <c r="J65" s="287"/>
      <c r="K65" s="234" t="e">
        <f t="shared" si="5"/>
        <v>#DIV/0!</v>
      </c>
      <c r="L65" s="235"/>
    </row>
    <row r="66" spans="1:14" ht="15.75" customHeight="1" thickBot="1">
      <c r="A66" s="391">
        <v>600</v>
      </c>
      <c r="B66" s="392"/>
      <c r="C66" s="393" t="s">
        <v>344</v>
      </c>
      <c r="D66" s="393"/>
      <c r="E66" s="321">
        <f>SUM(E67,E80,E88,E96,E101,E122,)</f>
        <v>233868343</v>
      </c>
      <c r="F66" s="321">
        <f>SUM(F67,F80,F88,F96,F101,F122,)</f>
        <v>265049559</v>
      </c>
      <c r="G66" s="321">
        <f>SUM(G67,G80,G88,G96,G101,G122,)</f>
        <v>261288725</v>
      </c>
      <c r="H66" s="186">
        <f t="shared" si="3"/>
        <v>1.1172470871784472</v>
      </c>
      <c r="I66" s="321">
        <f>SUM(I67,I80,I88,I96,I101,I122,)</f>
        <v>-119579</v>
      </c>
      <c r="J66" s="322">
        <f>SUM(J67,J80,J88,J96,J101,J122,)</f>
        <v>261169146</v>
      </c>
      <c r="K66" s="394">
        <f t="shared" si="5"/>
        <v>0.98535967003816072</v>
      </c>
      <c r="L66" s="188"/>
    </row>
    <row r="67" spans="1:14" ht="15" customHeight="1" thickBot="1">
      <c r="A67" s="395"/>
      <c r="B67" s="396">
        <v>60001</v>
      </c>
      <c r="C67" s="191" t="s">
        <v>345</v>
      </c>
      <c r="D67" s="192"/>
      <c r="E67" s="314">
        <f>SUM(E68,E77)</f>
        <v>32444879</v>
      </c>
      <c r="F67" s="314">
        <f>SUM(F68,F77)</f>
        <v>33021053</v>
      </c>
      <c r="G67" s="315">
        <f>SUM(G68,G77)</f>
        <v>32757354</v>
      </c>
      <c r="H67" s="195">
        <f t="shared" si="3"/>
        <v>1.0096309497717653</v>
      </c>
      <c r="I67" s="314">
        <f>SUM(I68,I77)</f>
        <v>0</v>
      </c>
      <c r="J67" s="315">
        <f>SUM(J68,J77)</f>
        <v>32757354</v>
      </c>
      <c r="K67" s="238">
        <f t="shared" si="5"/>
        <v>0.9920142159003833</v>
      </c>
      <c r="L67" s="290"/>
    </row>
    <row r="68" spans="1:14">
      <c r="A68" s="397"/>
      <c r="B68" s="4202" t="s">
        <v>288</v>
      </c>
      <c r="C68" s="4205"/>
      <c r="D68" s="239"/>
      <c r="E68" s="240">
        <f>SUM(E69:E74)</f>
        <v>29444879</v>
      </c>
      <c r="F68" s="240">
        <f>SUM(F69:F74)</f>
        <v>30021053</v>
      </c>
      <c r="G68" s="241">
        <f>SUM(G69:G74)</f>
        <v>31257354</v>
      </c>
      <c r="H68" s="293">
        <f t="shared" si="3"/>
        <v>1.0615548462603632</v>
      </c>
      <c r="I68" s="240">
        <f>SUM(I69:I74)</f>
        <v>0</v>
      </c>
      <c r="J68" s="241">
        <f>SUM(J69:J74)</f>
        <v>31257354</v>
      </c>
      <c r="K68" s="203">
        <f t="shared" si="5"/>
        <v>1.0411811337863466</v>
      </c>
      <c r="L68" s="294"/>
    </row>
    <row r="69" spans="1:14">
      <c r="A69" s="397"/>
      <c r="B69" s="398"/>
      <c r="C69" s="399" t="s">
        <v>346</v>
      </c>
      <c r="D69" s="400" t="s">
        <v>290</v>
      </c>
      <c r="E69" s="206">
        <v>21478029</v>
      </c>
      <c r="F69" s="207">
        <v>21478029</v>
      </c>
      <c r="G69" s="208">
        <v>21478029</v>
      </c>
      <c r="H69" s="209">
        <f t="shared" si="3"/>
        <v>1</v>
      </c>
      <c r="I69" s="252">
        <v>0</v>
      </c>
      <c r="J69" s="211">
        <f t="shared" ref="J69" si="31">SUM(G69,I69)</f>
        <v>21478029</v>
      </c>
      <c r="K69" s="212">
        <f t="shared" si="5"/>
        <v>1</v>
      </c>
      <c r="L69" s="300"/>
    </row>
    <row r="70" spans="1:14" hidden="1">
      <c r="A70" s="397"/>
      <c r="B70" s="398"/>
      <c r="C70" s="4280" t="s">
        <v>347</v>
      </c>
      <c r="D70" s="400" t="s">
        <v>307</v>
      </c>
      <c r="E70" s="206">
        <v>0</v>
      </c>
      <c r="F70" s="207">
        <v>0</v>
      </c>
      <c r="G70" s="208">
        <v>0</v>
      </c>
      <c r="H70" s="209" t="e">
        <f t="shared" si="3"/>
        <v>#DIV/0!</v>
      </c>
      <c r="I70" s="252"/>
      <c r="J70" s="211"/>
      <c r="K70" s="212" t="e">
        <f t="shared" si="5"/>
        <v>#DIV/0!</v>
      </c>
      <c r="L70" s="300"/>
    </row>
    <row r="71" spans="1:14" ht="64.5" hidden="1" customHeight="1">
      <c r="A71" s="397"/>
      <c r="B71" s="398"/>
      <c r="C71" s="4281"/>
      <c r="D71" s="400" t="s">
        <v>299</v>
      </c>
      <c r="E71" s="401">
        <v>0</v>
      </c>
      <c r="F71" s="207">
        <v>0</v>
      </c>
      <c r="G71" s="208">
        <v>0</v>
      </c>
      <c r="H71" s="209" t="e">
        <f t="shared" si="3"/>
        <v>#DIV/0!</v>
      </c>
      <c r="I71" s="252"/>
      <c r="J71" s="211"/>
      <c r="K71" s="212" t="e">
        <f t="shared" si="5"/>
        <v>#DIV/0!</v>
      </c>
      <c r="L71" s="300"/>
    </row>
    <row r="72" spans="1:14" ht="40.5" customHeight="1">
      <c r="A72" s="397"/>
      <c r="B72" s="398"/>
      <c r="C72" s="402" t="s">
        <v>348</v>
      </c>
      <c r="D72" s="403" t="s">
        <v>349</v>
      </c>
      <c r="E72" s="401">
        <v>3875000</v>
      </c>
      <c r="F72" s="207">
        <v>3875000</v>
      </c>
      <c r="G72" s="208">
        <v>5375000</v>
      </c>
      <c r="H72" s="209">
        <f t="shared" si="3"/>
        <v>1.3870967741935485</v>
      </c>
      <c r="I72" s="252">
        <v>0</v>
      </c>
      <c r="J72" s="211">
        <f t="shared" ref="J72:J74" si="32">SUM(G72,I72)</f>
        <v>5375000</v>
      </c>
      <c r="K72" s="212">
        <f t="shared" si="5"/>
        <v>1.3870967741935485</v>
      </c>
      <c r="L72" s="300"/>
      <c r="N72" s="404"/>
    </row>
    <row r="73" spans="1:14" ht="42" customHeight="1">
      <c r="A73" s="397"/>
      <c r="B73" s="398"/>
      <c r="C73" s="405" t="s">
        <v>350</v>
      </c>
      <c r="D73" s="406" t="s">
        <v>351</v>
      </c>
      <c r="E73" s="206">
        <v>0</v>
      </c>
      <c r="F73" s="207">
        <v>63699</v>
      </c>
      <c r="G73" s="208">
        <v>0</v>
      </c>
      <c r="H73" s="209"/>
      <c r="I73" s="252">
        <v>0</v>
      </c>
      <c r="J73" s="211">
        <f t="shared" si="32"/>
        <v>0</v>
      </c>
      <c r="K73" s="212">
        <f t="shared" ref="K73:K136" si="33">J73/F73</f>
        <v>0</v>
      </c>
      <c r="L73" s="300"/>
    </row>
    <row r="74" spans="1:14" ht="39" customHeight="1">
      <c r="A74" s="397"/>
      <c r="B74" s="407"/>
      <c r="C74" s="402" t="s">
        <v>352</v>
      </c>
      <c r="D74" s="214" t="s">
        <v>353</v>
      </c>
      <c r="E74" s="401">
        <v>4091850</v>
      </c>
      <c r="F74" s="408">
        <v>4604325</v>
      </c>
      <c r="G74" s="409">
        <v>4404325</v>
      </c>
      <c r="H74" s="209">
        <f t="shared" ref="H74:H137" si="34">G74/E74</f>
        <v>1.0763652137786086</v>
      </c>
      <c r="I74" s="215">
        <v>0</v>
      </c>
      <c r="J74" s="211">
        <f t="shared" si="32"/>
        <v>4404325</v>
      </c>
      <c r="K74" s="212">
        <f t="shared" si="33"/>
        <v>0.95656257974838876</v>
      </c>
      <c r="L74" s="410"/>
    </row>
    <row r="75" spans="1:14" ht="42" hidden="1" customHeight="1">
      <c r="A75" s="397"/>
      <c r="B75" s="411"/>
      <c r="C75" s="412" t="s">
        <v>354</v>
      </c>
      <c r="D75" s="413" t="s">
        <v>355</v>
      </c>
      <c r="E75" s="414">
        <v>0</v>
      </c>
      <c r="F75" s="207"/>
      <c r="G75" s="208"/>
      <c r="H75" s="209" t="e">
        <f t="shared" si="34"/>
        <v>#DIV/0!</v>
      </c>
      <c r="I75" s="252"/>
      <c r="J75" s="211"/>
      <c r="K75" s="212" t="e">
        <f t="shared" si="33"/>
        <v>#DIV/0!</v>
      </c>
      <c r="L75" s="297"/>
    </row>
    <row r="76" spans="1:14" ht="54" hidden="1" customHeight="1">
      <c r="A76" s="397"/>
      <c r="B76" s="398"/>
      <c r="C76" s="402" t="s">
        <v>356</v>
      </c>
      <c r="D76" s="214" t="s">
        <v>355</v>
      </c>
      <c r="E76" s="246"/>
      <c r="F76" s="207"/>
      <c r="G76" s="208"/>
      <c r="H76" s="209" t="e">
        <f t="shared" si="34"/>
        <v>#DIV/0!</v>
      </c>
      <c r="I76" s="252"/>
      <c r="J76" s="211"/>
      <c r="K76" s="212" t="e">
        <f t="shared" si="33"/>
        <v>#DIV/0!</v>
      </c>
      <c r="L76" s="297"/>
    </row>
    <row r="77" spans="1:14">
      <c r="A77" s="397"/>
      <c r="B77" s="4282" t="s">
        <v>334</v>
      </c>
      <c r="C77" s="4282"/>
      <c r="D77" s="415"/>
      <c r="E77" s="416">
        <f>SUM(E79)</f>
        <v>3000000</v>
      </c>
      <c r="F77" s="416">
        <f>SUM(F79)</f>
        <v>3000000</v>
      </c>
      <c r="G77" s="417">
        <f>SUM(G79)</f>
        <v>1500000</v>
      </c>
      <c r="H77" s="418">
        <f t="shared" si="34"/>
        <v>0.5</v>
      </c>
      <c r="I77" s="416">
        <f>SUM(I79)</f>
        <v>0</v>
      </c>
      <c r="J77" s="417">
        <f>SUM(J79)</f>
        <v>1500000</v>
      </c>
      <c r="K77" s="419">
        <f t="shared" si="33"/>
        <v>0.5</v>
      </c>
      <c r="L77" s="420"/>
    </row>
    <row r="78" spans="1:14" ht="10.5" hidden="1" customHeight="1">
      <c r="A78" s="397"/>
      <c r="B78" s="421"/>
      <c r="C78" s="422" t="s">
        <v>357</v>
      </c>
      <c r="D78" s="423">
        <v>6257</v>
      </c>
      <c r="E78" s="424"/>
      <c r="F78" s="207"/>
      <c r="G78" s="208"/>
      <c r="H78" s="209" t="e">
        <f t="shared" si="34"/>
        <v>#DIV/0!</v>
      </c>
      <c r="I78" s="252"/>
      <c r="J78" s="211"/>
      <c r="K78" s="212" t="e">
        <f t="shared" si="33"/>
        <v>#DIV/0!</v>
      </c>
      <c r="L78" s="297"/>
    </row>
    <row r="79" spans="1:14" ht="55.5" customHeight="1" thickBot="1">
      <c r="A79" s="397"/>
      <c r="B79" s="425"/>
      <c r="C79" s="316" t="s">
        <v>358</v>
      </c>
      <c r="D79" s="423">
        <v>6350</v>
      </c>
      <c r="E79" s="206">
        <v>3000000</v>
      </c>
      <c r="F79" s="207">
        <v>3000000</v>
      </c>
      <c r="G79" s="306">
        <v>1500000</v>
      </c>
      <c r="H79" s="355">
        <f t="shared" si="34"/>
        <v>0.5</v>
      </c>
      <c r="I79" s="426">
        <v>0</v>
      </c>
      <c r="J79" s="211">
        <f t="shared" ref="J79" si="35">SUM(G79,I79)</f>
        <v>1500000</v>
      </c>
      <c r="K79" s="234">
        <f t="shared" si="33"/>
        <v>0.5</v>
      </c>
      <c r="L79" s="427"/>
    </row>
    <row r="80" spans="1:14" ht="17.25" customHeight="1" thickBot="1">
      <c r="A80" s="397"/>
      <c r="B80" s="396">
        <v>60002</v>
      </c>
      <c r="C80" s="191" t="s">
        <v>359</v>
      </c>
      <c r="D80" s="192"/>
      <c r="E80" s="236">
        <f>SUM(E81,E83)</f>
        <v>22286635</v>
      </c>
      <c r="F80" s="236">
        <f>SUM(F81,F83)</f>
        <v>90407784</v>
      </c>
      <c r="G80" s="237">
        <f>SUM(G81,G83)</f>
        <v>23715021</v>
      </c>
      <c r="H80" s="428">
        <f t="shared" si="34"/>
        <v>1.0640915957029853</v>
      </c>
      <c r="I80" s="236">
        <f>SUM(I81,I83)</f>
        <v>0</v>
      </c>
      <c r="J80" s="237">
        <f>SUM(J81,J83)</f>
        <v>23715021</v>
      </c>
      <c r="K80" s="238">
        <f t="shared" si="33"/>
        <v>0.26231171643362033</v>
      </c>
      <c r="L80" s="197"/>
    </row>
    <row r="81" spans="1:12">
      <c r="A81" s="397"/>
      <c r="B81" s="4201" t="s">
        <v>360</v>
      </c>
      <c r="C81" s="4283"/>
      <c r="D81" s="239"/>
      <c r="E81" s="240">
        <f t="shared" ref="E81:J81" si="36">SUM(E82)</f>
        <v>0</v>
      </c>
      <c r="F81" s="240">
        <f t="shared" si="36"/>
        <v>0</v>
      </c>
      <c r="G81" s="241">
        <f t="shared" si="36"/>
        <v>0</v>
      </c>
      <c r="H81" s="344"/>
      <c r="I81" s="240">
        <f t="shared" si="36"/>
        <v>0</v>
      </c>
      <c r="J81" s="241">
        <f t="shared" si="36"/>
        <v>0</v>
      </c>
      <c r="K81" s="203"/>
      <c r="L81" s="204"/>
    </row>
    <row r="82" spans="1:12" ht="42" hidden="1" customHeight="1">
      <c r="A82" s="397"/>
      <c r="B82" s="407"/>
      <c r="C82" s="304" t="s">
        <v>352</v>
      </c>
      <c r="D82" s="429" t="s">
        <v>353</v>
      </c>
      <c r="E82" s="207"/>
      <c r="F82" s="207"/>
      <c r="G82" s="208"/>
      <c r="H82" s="430" t="e">
        <f t="shared" si="34"/>
        <v>#DIV/0!</v>
      </c>
      <c r="I82" s="207"/>
      <c r="J82" s="208"/>
      <c r="K82" s="419" t="e">
        <f t="shared" si="33"/>
        <v>#DIV/0!</v>
      </c>
      <c r="L82" s="225"/>
    </row>
    <row r="83" spans="1:12">
      <c r="A83" s="397"/>
      <c r="B83" s="4199" t="s">
        <v>334</v>
      </c>
      <c r="C83" s="4284"/>
      <c r="D83" s="415"/>
      <c r="E83" s="218">
        <f>SUM(E85:E87)</f>
        <v>22286635</v>
      </c>
      <c r="F83" s="218">
        <f>SUM(F85:F87)</f>
        <v>90407784</v>
      </c>
      <c r="G83" s="292">
        <f>SUM(G85:G87)</f>
        <v>23715021</v>
      </c>
      <c r="H83" s="418">
        <f t="shared" si="34"/>
        <v>1.0640915957029853</v>
      </c>
      <c r="I83" s="218">
        <f>SUM(I85:I87)</f>
        <v>0</v>
      </c>
      <c r="J83" s="292">
        <f>SUM(J85:J87)</f>
        <v>23715021</v>
      </c>
      <c r="K83" s="419">
        <f t="shared" si="33"/>
        <v>0.26231171643362033</v>
      </c>
      <c r="L83" s="225"/>
    </row>
    <row r="84" spans="1:12" ht="63.75" hidden="1" customHeight="1">
      <c r="A84" s="397"/>
      <c r="B84" s="431"/>
      <c r="C84" s="432" t="s">
        <v>361</v>
      </c>
      <c r="D84" s="433">
        <v>6207</v>
      </c>
      <c r="E84" s="206">
        <v>0</v>
      </c>
      <c r="F84" s="207"/>
      <c r="G84" s="208"/>
      <c r="H84" s="209" t="e">
        <f t="shared" si="34"/>
        <v>#DIV/0!</v>
      </c>
      <c r="I84" s="252"/>
      <c r="J84" s="211"/>
      <c r="K84" s="212" t="e">
        <f t="shared" si="33"/>
        <v>#DIV/0!</v>
      </c>
      <c r="L84" s="247"/>
    </row>
    <row r="85" spans="1:12" ht="70.5" customHeight="1">
      <c r="A85" s="397"/>
      <c r="B85" s="434"/>
      <c r="C85" s="432" t="s">
        <v>362</v>
      </c>
      <c r="D85" s="433">
        <v>6207</v>
      </c>
      <c r="E85" s="206">
        <v>0</v>
      </c>
      <c r="F85" s="207">
        <v>61913039</v>
      </c>
      <c r="G85" s="208">
        <v>0</v>
      </c>
      <c r="H85" s="209"/>
      <c r="I85" s="252">
        <v>0</v>
      </c>
      <c r="J85" s="211">
        <f t="shared" ref="J85:J87" si="37">SUM(G85,I85)</f>
        <v>0</v>
      </c>
      <c r="K85" s="212">
        <f t="shared" si="33"/>
        <v>0</v>
      </c>
      <c r="L85" s="253"/>
    </row>
    <row r="86" spans="1:12" ht="53.25" customHeight="1">
      <c r="A86" s="397"/>
      <c r="B86" s="434"/>
      <c r="C86" s="435" t="s">
        <v>363</v>
      </c>
      <c r="D86" s="436">
        <v>6257</v>
      </c>
      <c r="E86" s="401">
        <v>22286635</v>
      </c>
      <c r="F86" s="408">
        <v>22286635</v>
      </c>
      <c r="G86" s="409">
        <v>22920771</v>
      </c>
      <c r="H86" s="209">
        <f t="shared" si="34"/>
        <v>1.0284536449760135</v>
      </c>
      <c r="I86" s="215">
        <v>0</v>
      </c>
      <c r="J86" s="211">
        <f t="shared" si="37"/>
        <v>22920771</v>
      </c>
      <c r="K86" s="212">
        <f t="shared" si="33"/>
        <v>1.0284536449760135</v>
      </c>
      <c r="L86" s="437"/>
    </row>
    <row r="87" spans="1:12" ht="54" customHeight="1" thickBot="1">
      <c r="A87" s="397"/>
      <c r="B87" s="438"/>
      <c r="C87" s="439" t="s">
        <v>364</v>
      </c>
      <c r="D87" s="440">
        <v>6300</v>
      </c>
      <c r="E87" s="246">
        <v>0</v>
      </c>
      <c r="F87" s="207">
        <v>6208110</v>
      </c>
      <c r="G87" s="306">
        <v>794250</v>
      </c>
      <c r="H87" s="355"/>
      <c r="I87" s="426">
        <v>0</v>
      </c>
      <c r="J87" s="211">
        <f t="shared" si="37"/>
        <v>794250</v>
      </c>
      <c r="K87" s="234">
        <f t="shared" si="33"/>
        <v>0.12793748822105278</v>
      </c>
      <c r="L87" s="441"/>
    </row>
    <row r="88" spans="1:12" ht="18.75" customHeight="1" thickBot="1">
      <c r="A88" s="397"/>
      <c r="B88" s="396">
        <v>60003</v>
      </c>
      <c r="C88" s="191" t="s">
        <v>365</v>
      </c>
      <c r="D88" s="192"/>
      <c r="E88" s="314">
        <f t="shared" ref="E88:G88" si="38">SUM(E89,E95)</f>
        <v>51873000</v>
      </c>
      <c r="F88" s="314">
        <f t="shared" si="38"/>
        <v>51873000</v>
      </c>
      <c r="G88" s="315">
        <f t="shared" si="38"/>
        <v>51873000</v>
      </c>
      <c r="H88" s="428">
        <f t="shared" si="34"/>
        <v>1</v>
      </c>
      <c r="I88" s="314">
        <f t="shared" ref="I88:J88" si="39">SUM(I89,I95)</f>
        <v>-269000</v>
      </c>
      <c r="J88" s="315">
        <f t="shared" si="39"/>
        <v>51604000</v>
      </c>
      <c r="K88" s="238">
        <f t="shared" si="33"/>
        <v>0.99481425789909972</v>
      </c>
      <c r="L88" s="197"/>
    </row>
    <row r="89" spans="1:12" ht="15" customHeight="1">
      <c r="A89" s="397"/>
      <c r="B89" s="4202" t="s">
        <v>288</v>
      </c>
      <c r="C89" s="4205"/>
      <c r="D89" s="239"/>
      <c r="E89" s="240">
        <f>SUM(E90:E94)</f>
        <v>51873000</v>
      </c>
      <c r="F89" s="240">
        <f>SUM(F90:F94)</f>
        <v>51873000</v>
      </c>
      <c r="G89" s="241">
        <f>SUM(G90:G94)</f>
        <v>51873000</v>
      </c>
      <c r="H89" s="293">
        <f t="shared" si="34"/>
        <v>1</v>
      </c>
      <c r="I89" s="240">
        <f>SUM(I90:I94)</f>
        <v>-269000</v>
      </c>
      <c r="J89" s="241">
        <f>SUM(J90:J94)</f>
        <v>51604000</v>
      </c>
      <c r="K89" s="203">
        <f t="shared" si="33"/>
        <v>0.99481425789909972</v>
      </c>
      <c r="L89" s="204"/>
    </row>
    <row r="90" spans="1:12" ht="27" hidden="1" customHeight="1">
      <c r="A90" s="397"/>
      <c r="B90" s="442"/>
      <c r="C90" s="443" t="s">
        <v>366</v>
      </c>
      <c r="D90" s="213" t="s">
        <v>367</v>
      </c>
      <c r="E90" s="206">
        <v>0</v>
      </c>
      <c r="F90" s="207">
        <v>0</v>
      </c>
      <c r="G90" s="208"/>
      <c r="H90" s="444" t="e">
        <f t="shared" si="34"/>
        <v>#DIV/0!</v>
      </c>
      <c r="I90" s="445"/>
      <c r="J90" s="446"/>
      <c r="K90" s="212" t="e">
        <f t="shared" si="33"/>
        <v>#DIV/0!</v>
      </c>
      <c r="L90" s="247"/>
    </row>
    <row r="91" spans="1:12" ht="51" hidden="1" customHeight="1">
      <c r="A91" s="397"/>
      <c r="B91" s="447"/>
      <c r="C91" s="363" t="s">
        <v>368</v>
      </c>
      <c r="D91" s="213" t="s">
        <v>340</v>
      </c>
      <c r="E91" s="206">
        <v>0</v>
      </c>
      <c r="F91" s="207">
        <v>0</v>
      </c>
      <c r="G91" s="208"/>
      <c r="H91" s="444" t="e">
        <f t="shared" si="34"/>
        <v>#DIV/0!</v>
      </c>
      <c r="I91" s="445"/>
      <c r="J91" s="446"/>
      <c r="K91" s="212" t="e">
        <f t="shared" si="33"/>
        <v>#DIV/0!</v>
      </c>
      <c r="L91" s="247"/>
    </row>
    <row r="92" spans="1:12" ht="41.25" customHeight="1">
      <c r="A92" s="397"/>
      <c r="B92" s="4271"/>
      <c r="C92" s="443" t="s">
        <v>315</v>
      </c>
      <c r="D92" s="213">
        <v>2210</v>
      </c>
      <c r="E92" s="206">
        <v>51873000</v>
      </c>
      <c r="F92" s="207">
        <v>51873000</v>
      </c>
      <c r="G92" s="208">
        <v>51873000</v>
      </c>
      <c r="H92" s="209">
        <f t="shared" si="34"/>
        <v>1</v>
      </c>
      <c r="I92" s="252">
        <v>-269000</v>
      </c>
      <c r="J92" s="211">
        <f t="shared" ref="J92" si="40">SUM(G92,I92)</f>
        <v>51604000</v>
      </c>
      <c r="K92" s="212">
        <f t="shared" si="33"/>
        <v>0.99481425789909972</v>
      </c>
      <c r="L92" s="300"/>
    </row>
    <row r="93" spans="1:12" ht="27" hidden="1" customHeight="1">
      <c r="A93" s="397"/>
      <c r="B93" s="4271"/>
      <c r="C93" s="265" t="s">
        <v>369</v>
      </c>
      <c r="D93" s="205" t="s">
        <v>309</v>
      </c>
      <c r="E93" s="206">
        <v>0</v>
      </c>
      <c r="F93" s="207">
        <v>0</v>
      </c>
      <c r="G93" s="208"/>
      <c r="H93" s="444" t="e">
        <f t="shared" si="34"/>
        <v>#DIV/0!</v>
      </c>
      <c r="I93" s="445"/>
      <c r="J93" s="446"/>
      <c r="K93" s="212" t="e">
        <f t="shared" si="33"/>
        <v>#DIV/0!</v>
      </c>
      <c r="L93" s="247"/>
    </row>
    <row r="94" spans="1:12" ht="29.25" hidden="1" customHeight="1">
      <c r="A94" s="397"/>
      <c r="B94" s="4272"/>
      <c r="C94" s="265" t="s">
        <v>370</v>
      </c>
      <c r="D94" s="205" t="s">
        <v>355</v>
      </c>
      <c r="E94" s="206"/>
      <c r="F94" s="207"/>
      <c r="G94" s="208"/>
      <c r="H94" s="444" t="e">
        <f t="shared" si="34"/>
        <v>#DIV/0!</v>
      </c>
      <c r="I94" s="445"/>
      <c r="J94" s="446"/>
      <c r="K94" s="212" t="e">
        <f t="shared" si="33"/>
        <v>#DIV/0!</v>
      </c>
      <c r="L94" s="247"/>
    </row>
    <row r="95" spans="1:12" ht="15.75" thickBot="1">
      <c r="A95" s="397"/>
      <c r="B95" s="4235" t="s">
        <v>293</v>
      </c>
      <c r="C95" s="4273"/>
      <c r="D95" s="318"/>
      <c r="E95" s="256">
        <v>0</v>
      </c>
      <c r="F95" s="256">
        <v>0</v>
      </c>
      <c r="G95" s="257">
        <v>0</v>
      </c>
      <c r="H95" s="278"/>
      <c r="I95" s="448">
        <v>0</v>
      </c>
      <c r="J95" s="449">
        <v>0</v>
      </c>
      <c r="K95" s="450"/>
      <c r="L95" s="451"/>
    </row>
    <row r="96" spans="1:12" ht="15.75" thickBot="1">
      <c r="A96" s="397"/>
      <c r="B96" s="452">
        <v>60004</v>
      </c>
      <c r="C96" s="453" t="s">
        <v>371</v>
      </c>
      <c r="D96" s="454"/>
      <c r="E96" s="455">
        <f>SUM(E97)</f>
        <v>100000</v>
      </c>
      <c r="F96" s="455">
        <f>SUM(F97)</f>
        <v>100000</v>
      </c>
      <c r="G96" s="456">
        <f>SUM(G97)</f>
        <v>50000</v>
      </c>
      <c r="H96" s="428">
        <f t="shared" si="34"/>
        <v>0.5</v>
      </c>
      <c r="I96" s="236">
        <f>SUM(I97)</f>
        <v>0</v>
      </c>
      <c r="J96" s="237">
        <f>SUM(J97)</f>
        <v>50000</v>
      </c>
      <c r="K96" s="238">
        <f t="shared" si="33"/>
        <v>0.5</v>
      </c>
      <c r="L96" s="457"/>
    </row>
    <row r="97" spans="1:12">
      <c r="A97" s="397"/>
      <c r="B97" s="4274" t="s">
        <v>288</v>
      </c>
      <c r="C97" s="4225"/>
      <c r="D97" s="458"/>
      <c r="E97" s="263">
        <f t="shared" ref="E97:G97" si="41">SUM(E98:E99)</f>
        <v>100000</v>
      </c>
      <c r="F97" s="263">
        <f t="shared" si="41"/>
        <v>100000</v>
      </c>
      <c r="G97" s="264">
        <f t="shared" si="41"/>
        <v>50000</v>
      </c>
      <c r="H97" s="293">
        <f t="shared" si="34"/>
        <v>0.5</v>
      </c>
      <c r="I97" s="263">
        <f t="shared" ref="I97:J97" si="42">SUM(I98:I99)</f>
        <v>0</v>
      </c>
      <c r="J97" s="264">
        <f t="shared" si="42"/>
        <v>50000</v>
      </c>
      <c r="K97" s="203">
        <f t="shared" si="33"/>
        <v>0.5</v>
      </c>
      <c r="L97" s="294"/>
    </row>
    <row r="98" spans="1:12" ht="18" customHeight="1">
      <c r="A98" s="397"/>
      <c r="B98" s="4275"/>
      <c r="C98" s="459" t="s">
        <v>372</v>
      </c>
      <c r="D98" s="460" t="s">
        <v>373</v>
      </c>
      <c r="E98" s="206">
        <v>100000</v>
      </c>
      <c r="F98" s="207">
        <v>100000</v>
      </c>
      <c r="G98" s="208">
        <v>50000</v>
      </c>
      <c r="H98" s="209">
        <f t="shared" si="34"/>
        <v>0.5</v>
      </c>
      <c r="I98" s="252">
        <v>0</v>
      </c>
      <c r="J98" s="211">
        <f t="shared" ref="J98" si="43">SUM(G98,I98)</f>
        <v>50000</v>
      </c>
      <c r="K98" s="212">
        <f t="shared" si="33"/>
        <v>0.5</v>
      </c>
      <c r="L98" s="300"/>
    </row>
    <row r="99" spans="1:12" ht="38.25" hidden="1" customHeight="1">
      <c r="A99" s="397"/>
      <c r="B99" s="4272"/>
      <c r="C99" s="459" t="s">
        <v>326</v>
      </c>
      <c r="D99" s="461" t="s">
        <v>374</v>
      </c>
      <c r="E99" s="462">
        <v>0</v>
      </c>
      <c r="F99" s="207">
        <v>0</v>
      </c>
      <c r="G99" s="208"/>
      <c r="H99" s="444" t="e">
        <f t="shared" si="34"/>
        <v>#DIV/0!</v>
      </c>
      <c r="I99" s="445"/>
      <c r="J99" s="446"/>
      <c r="K99" s="212" t="e">
        <f t="shared" si="33"/>
        <v>#DIV/0!</v>
      </c>
      <c r="L99" s="297"/>
    </row>
    <row r="100" spans="1:12" ht="15.75" thickBot="1">
      <c r="A100" s="397"/>
      <c r="B100" s="4235" t="s">
        <v>293</v>
      </c>
      <c r="C100" s="4218"/>
      <c r="D100" s="255"/>
      <c r="E100" s="256">
        <v>0</v>
      </c>
      <c r="F100" s="256">
        <v>0</v>
      </c>
      <c r="G100" s="257">
        <v>0</v>
      </c>
      <c r="H100" s="278"/>
      <c r="I100" s="448">
        <v>0</v>
      </c>
      <c r="J100" s="449">
        <v>0</v>
      </c>
      <c r="K100" s="450"/>
      <c r="L100" s="279"/>
    </row>
    <row r="101" spans="1:12" ht="15.75" thickBot="1">
      <c r="A101" s="463"/>
      <c r="B101" s="464">
        <v>60013</v>
      </c>
      <c r="C101" s="465" t="s">
        <v>375</v>
      </c>
      <c r="D101" s="466"/>
      <c r="E101" s="467">
        <f>SUM(E108,E102)</f>
        <v>126869888</v>
      </c>
      <c r="F101" s="467">
        <f>SUM(F108,F102)</f>
        <v>89353781</v>
      </c>
      <c r="G101" s="468">
        <f>SUM(G108,G102)</f>
        <v>152730670</v>
      </c>
      <c r="H101" s="195">
        <f t="shared" si="34"/>
        <v>1.2038370365708844</v>
      </c>
      <c r="I101" s="467">
        <f>SUM(I108,I102)</f>
        <v>0</v>
      </c>
      <c r="J101" s="468">
        <f>SUM(J108,J102)</f>
        <v>152730670</v>
      </c>
      <c r="K101" s="238">
        <f t="shared" si="33"/>
        <v>1.7092804388434328</v>
      </c>
      <c r="L101" s="469"/>
    </row>
    <row r="102" spans="1:12">
      <c r="A102" s="463"/>
      <c r="B102" s="4175" t="s">
        <v>288</v>
      </c>
      <c r="C102" s="4219"/>
      <c r="D102" s="470"/>
      <c r="E102" s="471">
        <f>SUM(E103:E107)</f>
        <v>1109000</v>
      </c>
      <c r="F102" s="472">
        <f>SUM(F103:F107)</f>
        <v>11364135</v>
      </c>
      <c r="G102" s="471">
        <f>SUM(G103:G107)</f>
        <v>1109000</v>
      </c>
      <c r="H102" s="293">
        <f t="shared" si="34"/>
        <v>1</v>
      </c>
      <c r="I102" s="472">
        <f>SUM(I103:I107)</f>
        <v>0</v>
      </c>
      <c r="J102" s="473">
        <f>SUM(J103:J107)</f>
        <v>1109000</v>
      </c>
      <c r="K102" s="203">
        <f t="shared" si="33"/>
        <v>9.7587717850940697E-2</v>
      </c>
      <c r="L102" s="474"/>
    </row>
    <row r="103" spans="1:12">
      <c r="A103" s="397"/>
      <c r="B103" s="4276"/>
      <c r="C103" s="4277" t="s">
        <v>376</v>
      </c>
      <c r="D103" s="475" t="s">
        <v>373</v>
      </c>
      <c r="E103" s="476">
        <v>1100000</v>
      </c>
      <c r="F103" s="477">
        <v>1100000</v>
      </c>
      <c r="G103" s="478">
        <v>1100000</v>
      </c>
      <c r="H103" s="209">
        <f t="shared" si="34"/>
        <v>1</v>
      </c>
      <c r="I103" s="215">
        <v>0</v>
      </c>
      <c r="J103" s="479">
        <f t="shared" ref="J103:J107" si="44">SUM(G103,I103)</f>
        <v>1100000</v>
      </c>
      <c r="K103" s="212">
        <f t="shared" si="33"/>
        <v>1</v>
      </c>
      <c r="L103" s="253"/>
    </row>
    <row r="104" spans="1:12">
      <c r="A104" s="397"/>
      <c r="B104" s="4276"/>
      <c r="C104" s="4278"/>
      <c r="D104" s="480" t="s">
        <v>299</v>
      </c>
      <c r="E104" s="476">
        <v>0</v>
      </c>
      <c r="F104" s="477">
        <v>25135</v>
      </c>
      <c r="G104" s="478">
        <v>0</v>
      </c>
      <c r="H104" s="209"/>
      <c r="I104" s="252">
        <v>0</v>
      </c>
      <c r="J104" s="211">
        <f t="shared" si="44"/>
        <v>0</v>
      </c>
      <c r="K104" s="212">
        <f t="shared" si="33"/>
        <v>0</v>
      </c>
      <c r="L104" s="253"/>
    </row>
    <row r="105" spans="1:12">
      <c r="A105" s="397"/>
      <c r="B105" s="4276"/>
      <c r="C105" s="4279"/>
      <c r="D105" s="481" t="s">
        <v>292</v>
      </c>
      <c r="E105" s="482">
        <v>9000</v>
      </c>
      <c r="F105" s="477">
        <v>9000</v>
      </c>
      <c r="G105" s="478">
        <v>9000</v>
      </c>
      <c r="H105" s="209">
        <f t="shared" si="34"/>
        <v>1</v>
      </c>
      <c r="I105" s="252">
        <v>0</v>
      </c>
      <c r="J105" s="211">
        <f t="shared" si="44"/>
        <v>9000</v>
      </c>
      <c r="K105" s="212">
        <f t="shared" si="33"/>
        <v>1</v>
      </c>
      <c r="L105" s="253"/>
    </row>
    <row r="106" spans="1:12" ht="25.5">
      <c r="A106" s="397"/>
      <c r="B106" s="4276"/>
      <c r="C106" s="483" t="s">
        <v>377</v>
      </c>
      <c r="D106" s="481" t="s">
        <v>378</v>
      </c>
      <c r="E106" s="482">
        <v>0</v>
      </c>
      <c r="F106" s="477">
        <v>7750000</v>
      </c>
      <c r="G106" s="478">
        <v>0</v>
      </c>
      <c r="H106" s="209"/>
      <c r="I106" s="252">
        <v>0</v>
      </c>
      <c r="J106" s="211">
        <f t="shared" si="44"/>
        <v>0</v>
      </c>
      <c r="K106" s="212">
        <f t="shared" si="33"/>
        <v>0</v>
      </c>
      <c r="L106" s="253"/>
    </row>
    <row r="107" spans="1:12" ht="38.25">
      <c r="A107" s="397"/>
      <c r="B107" s="4276"/>
      <c r="C107" s="484" t="s">
        <v>379</v>
      </c>
      <c r="D107" s="485" t="s">
        <v>353</v>
      </c>
      <c r="E107" s="482">
        <v>0</v>
      </c>
      <c r="F107" s="477">
        <v>2480000</v>
      </c>
      <c r="G107" s="478">
        <v>0</v>
      </c>
      <c r="H107" s="209"/>
      <c r="I107" s="252">
        <v>0</v>
      </c>
      <c r="J107" s="211">
        <f t="shared" si="44"/>
        <v>0</v>
      </c>
      <c r="K107" s="212">
        <f t="shared" si="33"/>
        <v>0</v>
      </c>
      <c r="L107" s="253"/>
    </row>
    <row r="108" spans="1:12">
      <c r="A108" s="463"/>
      <c r="B108" s="4263" t="s">
        <v>334</v>
      </c>
      <c r="C108" s="4264"/>
      <c r="D108" s="486"/>
      <c r="E108" s="487">
        <f>SUM(E109:E117)</f>
        <v>125760888</v>
      </c>
      <c r="F108" s="487">
        <f>SUM(F109:F117)</f>
        <v>77989646</v>
      </c>
      <c r="G108" s="488">
        <f>SUM(G109:G117)</f>
        <v>151621670</v>
      </c>
      <c r="H108" s="418">
        <f t="shared" si="34"/>
        <v>1.2056345371861561</v>
      </c>
      <c r="I108" s="487">
        <f>SUM(I109:I117)</f>
        <v>0</v>
      </c>
      <c r="J108" s="488">
        <f>SUM(J109:J117)</f>
        <v>151621670</v>
      </c>
      <c r="K108" s="419">
        <f t="shared" si="33"/>
        <v>1.9441256343181761</v>
      </c>
      <c r="L108" s="489"/>
    </row>
    <row r="109" spans="1:12" ht="63" customHeight="1">
      <c r="A109" s="463"/>
      <c r="B109" s="490"/>
      <c r="C109" s="491" t="s">
        <v>380</v>
      </c>
      <c r="D109" s="4265" t="s">
        <v>381</v>
      </c>
      <c r="E109" s="476">
        <v>0</v>
      </c>
      <c r="F109" s="492">
        <v>5028250</v>
      </c>
      <c r="G109" s="493">
        <v>0</v>
      </c>
      <c r="H109" s="209"/>
      <c r="I109" s="252">
        <v>0</v>
      </c>
      <c r="J109" s="211">
        <f t="shared" ref="J109:J117" si="45">SUM(G109,I109)</f>
        <v>0</v>
      </c>
      <c r="K109" s="212">
        <f t="shared" si="33"/>
        <v>0</v>
      </c>
      <c r="L109" s="494"/>
    </row>
    <row r="110" spans="1:12" ht="75.75" customHeight="1" thickBot="1">
      <c r="A110" s="495"/>
      <c r="B110" s="496"/>
      <c r="C110" s="497" t="s">
        <v>382</v>
      </c>
      <c r="D110" s="4266"/>
      <c r="E110" s="498">
        <v>0</v>
      </c>
      <c r="F110" s="499">
        <v>6914892</v>
      </c>
      <c r="G110" s="500">
        <v>0</v>
      </c>
      <c r="H110" s="355"/>
      <c r="I110" s="356">
        <v>0</v>
      </c>
      <c r="J110" s="357">
        <f t="shared" si="45"/>
        <v>0</v>
      </c>
      <c r="K110" s="358">
        <f t="shared" si="33"/>
        <v>0</v>
      </c>
      <c r="L110" s="494"/>
    </row>
    <row r="111" spans="1:12" ht="64.5" customHeight="1">
      <c r="A111" s="501"/>
      <c r="B111" s="502"/>
      <c r="C111" s="503" t="s">
        <v>383</v>
      </c>
      <c r="D111" s="504" t="s">
        <v>381</v>
      </c>
      <c r="E111" s="505">
        <v>0</v>
      </c>
      <c r="F111" s="506">
        <v>431322</v>
      </c>
      <c r="G111" s="507">
        <v>0</v>
      </c>
      <c r="H111" s="508"/>
      <c r="I111" s="509">
        <v>0</v>
      </c>
      <c r="J111" s="510">
        <f t="shared" si="45"/>
        <v>0</v>
      </c>
      <c r="K111" s="511">
        <f t="shared" si="33"/>
        <v>0</v>
      </c>
      <c r="L111" s="512"/>
    </row>
    <row r="112" spans="1:12" ht="39" customHeight="1">
      <c r="A112" s="463"/>
      <c r="B112" s="490"/>
      <c r="C112" s="513" t="s">
        <v>384</v>
      </c>
      <c r="D112" s="475" t="s">
        <v>385</v>
      </c>
      <c r="E112" s="476">
        <v>56355000</v>
      </c>
      <c r="F112" s="492">
        <v>36303127</v>
      </c>
      <c r="G112" s="493">
        <v>59148348</v>
      </c>
      <c r="H112" s="209">
        <f t="shared" si="34"/>
        <v>1.0495669949427735</v>
      </c>
      <c r="I112" s="252">
        <v>0</v>
      </c>
      <c r="J112" s="211">
        <f t="shared" si="45"/>
        <v>59148348</v>
      </c>
      <c r="K112" s="212">
        <f t="shared" si="33"/>
        <v>1.6292907219810568</v>
      </c>
      <c r="L112" s="514"/>
    </row>
    <row r="113" spans="1:12" ht="63.75">
      <c r="A113" s="463"/>
      <c r="B113" s="490"/>
      <c r="C113" s="515" t="s">
        <v>386</v>
      </c>
      <c r="D113" s="475" t="s">
        <v>387</v>
      </c>
      <c r="E113" s="476">
        <v>0</v>
      </c>
      <c r="F113" s="492">
        <v>761051</v>
      </c>
      <c r="G113" s="493">
        <v>0</v>
      </c>
      <c r="H113" s="209"/>
      <c r="I113" s="252">
        <v>0</v>
      </c>
      <c r="J113" s="211">
        <f t="shared" si="45"/>
        <v>0</v>
      </c>
      <c r="K113" s="212">
        <f t="shared" si="33"/>
        <v>0</v>
      </c>
      <c r="L113" s="514"/>
    </row>
    <row r="114" spans="1:12" ht="51">
      <c r="A114" s="463"/>
      <c r="B114" s="490"/>
      <c r="C114" s="516" t="s">
        <v>364</v>
      </c>
      <c r="D114" s="517">
        <v>6300</v>
      </c>
      <c r="E114" s="482">
        <v>9760888</v>
      </c>
      <c r="F114" s="518">
        <v>21265109</v>
      </c>
      <c r="G114" s="519">
        <v>647153</v>
      </c>
      <c r="H114" s="209">
        <f t="shared" si="34"/>
        <v>6.6300627565852616E-2</v>
      </c>
      <c r="I114" s="215">
        <v>0</v>
      </c>
      <c r="J114" s="211">
        <f t="shared" si="45"/>
        <v>647153</v>
      </c>
      <c r="K114" s="212">
        <f t="shared" si="33"/>
        <v>3.0432620872058544E-2</v>
      </c>
      <c r="L114" s="512"/>
    </row>
    <row r="115" spans="1:12" ht="38.25">
      <c r="A115" s="463"/>
      <c r="B115" s="490"/>
      <c r="C115" s="520" t="s">
        <v>388</v>
      </c>
      <c r="D115" s="521">
        <v>6350</v>
      </c>
      <c r="E115" s="476">
        <v>46565000</v>
      </c>
      <c r="F115" s="492">
        <f>2577010+3028885</f>
        <v>5605895</v>
      </c>
      <c r="G115" s="493">
        <f>67746169+8080000</f>
        <v>75826169</v>
      </c>
      <c r="H115" s="209">
        <f t="shared" si="34"/>
        <v>1.6283940513261033</v>
      </c>
      <c r="I115" s="252">
        <v>0</v>
      </c>
      <c r="J115" s="211">
        <f t="shared" si="45"/>
        <v>75826169</v>
      </c>
      <c r="K115" s="212">
        <f t="shared" si="33"/>
        <v>13.526148634606963</v>
      </c>
      <c r="L115" s="514"/>
    </row>
    <row r="116" spans="1:12" ht="25.5">
      <c r="A116" s="463"/>
      <c r="B116" s="490"/>
      <c r="C116" s="520" t="s">
        <v>389</v>
      </c>
      <c r="D116" s="521">
        <v>6370</v>
      </c>
      <c r="E116" s="522">
        <v>11400000</v>
      </c>
      <c r="F116" s="523">
        <v>0</v>
      </c>
      <c r="G116" s="524">
        <v>16000000</v>
      </c>
      <c r="H116" s="209">
        <f t="shared" si="34"/>
        <v>1.4035087719298245</v>
      </c>
      <c r="I116" s="426">
        <v>0</v>
      </c>
      <c r="J116" s="211">
        <f t="shared" si="45"/>
        <v>16000000</v>
      </c>
      <c r="K116" s="212"/>
      <c r="L116" s="525"/>
    </row>
    <row r="117" spans="1:12" ht="39" thickBot="1">
      <c r="A117" s="463"/>
      <c r="B117" s="496"/>
      <c r="C117" s="526" t="s">
        <v>390</v>
      </c>
      <c r="D117" s="527">
        <v>6530</v>
      </c>
      <c r="E117" s="498">
        <v>1680000</v>
      </c>
      <c r="F117" s="499">
        <v>1680000</v>
      </c>
      <c r="G117" s="500">
        <v>0</v>
      </c>
      <c r="H117" s="355">
        <f t="shared" si="34"/>
        <v>0</v>
      </c>
      <c r="I117" s="356">
        <v>0</v>
      </c>
      <c r="J117" s="211">
        <f t="shared" si="45"/>
        <v>0</v>
      </c>
      <c r="K117" s="212">
        <f t="shared" si="33"/>
        <v>0</v>
      </c>
      <c r="L117" s="528"/>
    </row>
    <row r="118" spans="1:12" ht="45.75" hidden="1" customHeight="1">
      <c r="A118" s="397"/>
      <c r="B118" s="529">
        <v>60078</v>
      </c>
      <c r="C118" s="530"/>
      <c r="D118" s="531"/>
      <c r="E118" s="532"/>
      <c r="F118" s="533"/>
      <c r="G118" s="534"/>
      <c r="H118" s="269" t="e">
        <f t="shared" si="34"/>
        <v>#DIV/0!</v>
      </c>
      <c r="I118" s="286"/>
      <c r="J118" s="287"/>
      <c r="K118" s="212" t="e">
        <f t="shared" si="33"/>
        <v>#DIV/0!</v>
      </c>
      <c r="L118" s="376"/>
    </row>
    <row r="119" spans="1:12" ht="42.75" hidden="1" customHeight="1">
      <c r="A119" s="397"/>
      <c r="B119" s="4267" t="s">
        <v>288</v>
      </c>
      <c r="C119" s="4267"/>
      <c r="D119" s="535"/>
      <c r="E119" s="536"/>
      <c r="F119" s="230"/>
      <c r="G119" s="231"/>
      <c r="H119" s="186" t="e">
        <f t="shared" si="34"/>
        <v>#DIV/0!</v>
      </c>
      <c r="I119" s="286"/>
      <c r="J119" s="287"/>
      <c r="K119" s="212" t="e">
        <f t="shared" si="33"/>
        <v>#DIV/0!</v>
      </c>
      <c r="L119" s="247"/>
    </row>
    <row r="120" spans="1:12" ht="51.75" hidden="1" customHeight="1" thickBot="1">
      <c r="A120" s="397"/>
      <c r="B120" s="537"/>
      <c r="C120" s="295" t="s">
        <v>364</v>
      </c>
      <c r="D120" s="267" t="s">
        <v>353</v>
      </c>
      <c r="E120" s="229"/>
      <c r="F120" s="230"/>
      <c r="G120" s="231"/>
      <c r="H120" s="186" t="e">
        <f t="shared" si="34"/>
        <v>#DIV/0!</v>
      </c>
      <c r="I120" s="286"/>
      <c r="J120" s="287"/>
      <c r="K120" s="212" t="e">
        <f t="shared" si="33"/>
        <v>#DIV/0!</v>
      </c>
      <c r="L120" s="247"/>
    </row>
    <row r="121" spans="1:12" ht="15.75" hidden="1" customHeight="1" thickBot="1">
      <c r="A121" s="397"/>
      <c r="B121" s="4268" t="s">
        <v>293</v>
      </c>
      <c r="C121" s="4269"/>
      <c r="D121" s="538"/>
      <c r="E121" s="539"/>
      <c r="F121" s="540"/>
      <c r="G121" s="541"/>
      <c r="H121" s="186" t="e">
        <f t="shared" si="34"/>
        <v>#DIV/0!</v>
      </c>
      <c r="I121" s="286"/>
      <c r="J121" s="287"/>
      <c r="K121" s="234" t="e">
        <f t="shared" si="33"/>
        <v>#DIV/0!</v>
      </c>
      <c r="L121" s="235"/>
    </row>
    <row r="122" spans="1:12" ht="15.75" thickBot="1">
      <c r="A122" s="397"/>
      <c r="B122" s="542">
        <v>60095</v>
      </c>
      <c r="C122" s="543" t="s">
        <v>312</v>
      </c>
      <c r="D122" s="544"/>
      <c r="E122" s="236">
        <f t="shared" ref="E122:G122" si="46">SUM(E123,E127)</f>
        <v>293941</v>
      </c>
      <c r="F122" s="236">
        <f t="shared" si="46"/>
        <v>293941</v>
      </c>
      <c r="G122" s="237">
        <f t="shared" si="46"/>
        <v>162680</v>
      </c>
      <c r="H122" s="195">
        <f t="shared" si="34"/>
        <v>0.55344439870586271</v>
      </c>
      <c r="I122" s="236">
        <f t="shared" ref="I122:J122" si="47">SUM(I123,I127)</f>
        <v>149421</v>
      </c>
      <c r="J122" s="237">
        <f t="shared" si="47"/>
        <v>312101</v>
      </c>
      <c r="K122" s="238">
        <f t="shared" si="33"/>
        <v>1.0617811057321027</v>
      </c>
      <c r="L122" s="197"/>
    </row>
    <row r="123" spans="1:12">
      <c r="A123" s="397"/>
      <c r="B123" s="4270" t="s">
        <v>288</v>
      </c>
      <c r="C123" s="4270"/>
      <c r="D123" s="545"/>
      <c r="E123" s="263">
        <f>SUM(E124:E126)</f>
        <v>293941</v>
      </c>
      <c r="F123" s="263">
        <f>SUM(F124:F126)</f>
        <v>293941</v>
      </c>
      <c r="G123" s="264">
        <f>SUM(G124:G126)</f>
        <v>162680</v>
      </c>
      <c r="H123" s="293">
        <f t="shared" si="34"/>
        <v>0.55344439870586271</v>
      </c>
      <c r="I123" s="263">
        <f>SUM(I124:I126)</f>
        <v>149421</v>
      </c>
      <c r="J123" s="264">
        <f>SUM(J124:J126)</f>
        <v>312101</v>
      </c>
      <c r="K123" s="203">
        <f t="shared" si="33"/>
        <v>1.0617811057321027</v>
      </c>
      <c r="L123" s="204"/>
    </row>
    <row r="124" spans="1:12" ht="68.25" customHeight="1">
      <c r="A124" s="397"/>
      <c r="B124" s="546"/>
      <c r="C124" s="547" t="s">
        <v>391</v>
      </c>
      <c r="D124" s="205" t="s">
        <v>305</v>
      </c>
      <c r="E124" s="206">
        <v>520</v>
      </c>
      <c r="F124" s="207">
        <v>520</v>
      </c>
      <c r="G124" s="548">
        <v>680</v>
      </c>
      <c r="H124" s="209">
        <f t="shared" si="34"/>
        <v>1.3076923076923077</v>
      </c>
      <c r="I124" s="252">
        <v>0</v>
      </c>
      <c r="J124" s="211">
        <f t="shared" ref="J124:J126" si="48">SUM(G124,I124)</f>
        <v>680</v>
      </c>
      <c r="K124" s="212">
        <f t="shared" si="33"/>
        <v>1.3076923076923077</v>
      </c>
      <c r="L124" s="253"/>
    </row>
    <row r="125" spans="1:12" ht="42" customHeight="1">
      <c r="A125" s="397"/>
      <c r="B125" s="4271"/>
      <c r="C125" s="549" t="s">
        <v>315</v>
      </c>
      <c r="D125" s="250">
        <v>2210</v>
      </c>
      <c r="E125" s="401">
        <v>285000</v>
      </c>
      <c r="F125" s="408">
        <v>285000</v>
      </c>
      <c r="G125" s="409">
        <v>160000</v>
      </c>
      <c r="H125" s="209">
        <f t="shared" si="34"/>
        <v>0.56140350877192979</v>
      </c>
      <c r="I125" s="252">
        <f>13000+130000</f>
        <v>143000</v>
      </c>
      <c r="J125" s="211">
        <f t="shared" si="48"/>
        <v>303000</v>
      </c>
      <c r="K125" s="212">
        <f t="shared" si="33"/>
        <v>1.0631578947368421</v>
      </c>
      <c r="L125" s="300"/>
    </row>
    <row r="126" spans="1:12" ht="39.75" customHeight="1">
      <c r="A126" s="397"/>
      <c r="B126" s="4272"/>
      <c r="C126" s="243" t="s">
        <v>326</v>
      </c>
      <c r="D126" s="250">
        <v>2360</v>
      </c>
      <c r="E126" s="206">
        <v>8421</v>
      </c>
      <c r="F126" s="207">
        <v>8421</v>
      </c>
      <c r="G126" s="208">
        <v>2000</v>
      </c>
      <c r="H126" s="209">
        <f t="shared" si="34"/>
        <v>0.2375014843842774</v>
      </c>
      <c r="I126" s="252">
        <v>6421</v>
      </c>
      <c r="J126" s="211">
        <f t="shared" si="48"/>
        <v>8421</v>
      </c>
      <c r="K126" s="212">
        <f t="shared" si="33"/>
        <v>1</v>
      </c>
      <c r="L126" s="253"/>
    </row>
    <row r="127" spans="1:12" ht="15.75" thickBot="1">
      <c r="A127" s="550"/>
      <c r="B127" s="4235" t="s">
        <v>293</v>
      </c>
      <c r="C127" s="4235"/>
      <c r="D127" s="551"/>
      <c r="E127" s="256">
        <v>0</v>
      </c>
      <c r="F127" s="256">
        <v>0</v>
      </c>
      <c r="G127" s="257">
        <v>0</v>
      </c>
      <c r="H127" s="278"/>
      <c r="I127" s="552">
        <v>0</v>
      </c>
      <c r="J127" s="553">
        <v>0</v>
      </c>
      <c r="K127" s="554"/>
      <c r="L127" s="451"/>
    </row>
    <row r="128" spans="1:12" ht="15.75" thickBot="1">
      <c r="A128" s="391">
        <v>630</v>
      </c>
      <c r="B128" s="392"/>
      <c r="C128" s="182" t="s">
        <v>392</v>
      </c>
      <c r="D128" s="393"/>
      <c r="E128" s="184">
        <f>SUM(E129,E136,)</f>
        <v>151779</v>
      </c>
      <c r="F128" s="184">
        <f>SUM(F129,F136,)</f>
        <v>151779</v>
      </c>
      <c r="G128" s="185">
        <f>SUM(G129,G136,)</f>
        <v>0</v>
      </c>
      <c r="H128" s="269">
        <f t="shared" si="34"/>
        <v>0</v>
      </c>
      <c r="I128" s="184">
        <f>SUM(I129,I136,)</f>
        <v>58000</v>
      </c>
      <c r="J128" s="185">
        <f>SUM(J129,J136,)</f>
        <v>58000</v>
      </c>
      <c r="K128" s="187">
        <f t="shared" si="33"/>
        <v>0.3821345508930748</v>
      </c>
      <c r="L128" s="323"/>
    </row>
    <row r="129" spans="1:12" ht="15.75" thickBot="1">
      <c r="A129" s="4259"/>
      <c r="B129" s="542">
        <v>63003</v>
      </c>
      <c r="C129" s="543" t="s">
        <v>393</v>
      </c>
      <c r="D129" s="544"/>
      <c r="E129" s="236">
        <f>E130+E135</f>
        <v>101779</v>
      </c>
      <c r="F129" s="236">
        <f>F130+F135</f>
        <v>101779</v>
      </c>
      <c r="G129" s="237">
        <f>G130+G135</f>
        <v>0</v>
      </c>
      <c r="H129" s="555">
        <f t="shared" si="34"/>
        <v>0</v>
      </c>
      <c r="I129" s="236">
        <f>I130+I135</f>
        <v>0</v>
      </c>
      <c r="J129" s="237">
        <f>J130+J135</f>
        <v>0</v>
      </c>
      <c r="K129" s="238">
        <f t="shared" si="33"/>
        <v>0</v>
      </c>
      <c r="L129" s="197"/>
    </row>
    <row r="130" spans="1:12">
      <c r="A130" s="4260"/>
      <c r="B130" s="4201" t="s">
        <v>288</v>
      </c>
      <c r="C130" s="4202"/>
      <c r="D130" s="556"/>
      <c r="E130" s="557">
        <f>SUM(E131:E134)</f>
        <v>101779</v>
      </c>
      <c r="F130" s="557">
        <f>SUM(F131:F134)</f>
        <v>101779</v>
      </c>
      <c r="G130" s="558">
        <f>SUM(G131:G134)</f>
        <v>0</v>
      </c>
      <c r="H130" s="559">
        <f t="shared" si="34"/>
        <v>0</v>
      </c>
      <c r="I130" s="557">
        <f>SUM(I131:I134)</f>
        <v>0</v>
      </c>
      <c r="J130" s="241">
        <f>SUM(J131:J134)</f>
        <v>0</v>
      </c>
      <c r="K130" s="203">
        <f t="shared" si="33"/>
        <v>0</v>
      </c>
      <c r="L130" s="204"/>
    </row>
    <row r="131" spans="1:12" ht="41.25" hidden="1" customHeight="1">
      <c r="A131" s="4260"/>
      <c r="B131" s="4220"/>
      <c r="C131" s="560" t="s">
        <v>394</v>
      </c>
      <c r="D131" s="561" t="s">
        <v>340</v>
      </c>
      <c r="E131" s="273"/>
      <c r="F131" s="207"/>
      <c r="G131" s="208"/>
      <c r="H131" s="209" t="e">
        <f t="shared" si="34"/>
        <v>#DIV/0!</v>
      </c>
      <c r="I131" s="252"/>
      <c r="J131" s="211"/>
      <c r="K131" s="212" t="e">
        <f t="shared" si="33"/>
        <v>#DIV/0!</v>
      </c>
      <c r="L131" s="247"/>
    </row>
    <row r="132" spans="1:12" ht="43.5" hidden="1" customHeight="1">
      <c r="A132" s="4260"/>
      <c r="B132" s="4220"/>
      <c r="C132" s="562" t="s">
        <v>298</v>
      </c>
      <c r="D132" s="563" t="s">
        <v>299</v>
      </c>
      <c r="E132" s="268"/>
      <c r="F132" s="207"/>
      <c r="G132" s="208"/>
      <c r="H132" s="209" t="e">
        <f t="shared" si="34"/>
        <v>#DIV/0!</v>
      </c>
      <c r="I132" s="252"/>
      <c r="J132" s="211"/>
      <c r="K132" s="212" t="e">
        <f t="shared" si="33"/>
        <v>#DIV/0!</v>
      </c>
      <c r="L132" s="247"/>
    </row>
    <row r="133" spans="1:12" ht="76.5">
      <c r="A133" s="4260"/>
      <c r="B133" s="4220"/>
      <c r="C133" s="547" t="s">
        <v>395</v>
      </c>
      <c r="D133" s="249">
        <v>2058</v>
      </c>
      <c r="E133" s="206">
        <v>101779</v>
      </c>
      <c r="F133" s="207">
        <v>101779</v>
      </c>
      <c r="G133" s="208">
        <v>0</v>
      </c>
      <c r="H133" s="209">
        <f t="shared" si="34"/>
        <v>0</v>
      </c>
      <c r="I133" s="252">
        <v>0</v>
      </c>
      <c r="J133" s="211">
        <f t="shared" ref="J133" si="49">SUM(G133,I133)</f>
        <v>0</v>
      </c>
      <c r="K133" s="212">
        <f t="shared" si="33"/>
        <v>0</v>
      </c>
      <c r="L133" s="253"/>
    </row>
    <row r="134" spans="1:12" ht="51" hidden="1">
      <c r="A134" s="4260"/>
      <c r="B134" s="4262"/>
      <c r="C134" s="564" t="s">
        <v>396</v>
      </c>
      <c r="D134" s="565">
        <v>2910</v>
      </c>
      <c r="E134" s="566"/>
      <c r="F134" s="207"/>
      <c r="G134" s="208"/>
      <c r="H134" s="209" t="e">
        <f t="shared" si="34"/>
        <v>#DIV/0!</v>
      </c>
      <c r="I134" s="252"/>
      <c r="J134" s="211"/>
      <c r="K134" s="212" t="e">
        <f t="shared" si="33"/>
        <v>#DIV/0!</v>
      </c>
      <c r="L134" s="247"/>
    </row>
    <row r="135" spans="1:12" ht="15.75" thickBot="1">
      <c r="A135" s="4260"/>
      <c r="B135" s="4217" t="s">
        <v>293</v>
      </c>
      <c r="C135" s="4218"/>
      <c r="D135" s="255"/>
      <c r="E135" s="256">
        <v>0</v>
      </c>
      <c r="F135" s="256">
        <v>0</v>
      </c>
      <c r="G135" s="319">
        <v>0</v>
      </c>
      <c r="H135" s="567"/>
      <c r="I135" s="568">
        <v>0</v>
      </c>
      <c r="J135" s="449">
        <v>0</v>
      </c>
      <c r="K135" s="450"/>
      <c r="L135" s="259"/>
    </row>
    <row r="136" spans="1:12" ht="15.75" thickBot="1">
      <c r="A136" s="4260"/>
      <c r="B136" s="569">
        <v>63095</v>
      </c>
      <c r="C136" s="570" t="s">
        <v>312</v>
      </c>
      <c r="D136" s="571"/>
      <c r="E136" s="455">
        <f t="shared" ref="E136:G136" si="50">E137+E139</f>
        <v>50000</v>
      </c>
      <c r="F136" s="455">
        <f t="shared" si="50"/>
        <v>50000</v>
      </c>
      <c r="G136" s="237">
        <f t="shared" si="50"/>
        <v>0</v>
      </c>
      <c r="H136" s="555">
        <f t="shared" si="34"/>
        <v>0</v>
      </c>
      <c r="I136" s="236">
        <f t="shared" ref="I136:J136" si="51">I137+I139</f>
        <v>58000</v>
      </c>
      <c r="J136" s="237">
        <f t="shared" si="51"/>
        <v>58000</v>
      </c>
      <c r="K136" s="238">
        <f t="shared" si="33"/>
        <v>1.1599999999999999</v>
      </c>
      <c r="L136" s="290"/>
    </row>
    <row r="137" spans="1:12" ht="15" customHeight="1">
      <c r="A137" s="4260"/>
      <c r="B137" s="4201" t="s">
        <v>288</v>
      </c>
      <c r="C137" s="4202"/>
      <c r="D137" s="556"/>
      <c r="E137" s="557">
        <f t="shared" ref="E137:J137" si="52">E138</f>
        <v>50000</v>
      </c>
      <c r="F137" s="240">
        <f t="shared" si="52"/>
        <v>50000</v>
      </c>
      <c r="G137" s="241">
        <f t="shared" si="52"/>
        <v>0</v>
      </c>
      <c r="H137" s="559">
        <f t="shared" si="34"/>
        <v>0</v>
      </c>
      <c r="I137" s="240">
        <f t="shared" si="52"/>
        <v>58000</v>
      </c>
      <c r="J137" s="241">
        <f t="shared" si="52"/>
        <v>58000</v>
      </c>
      <c r="K137" s="203">
        <f t="shared" ref="K137:K200" si="53">J137/F137</f>
        <v>1.1599999999999999</v>
      </c>
      <c r="L137" s="294"/>
    </row>
    <row r="138" spans="1:12" ht="38.25">
      <c r="A138" s="4260"/>
      <c r="B138" s="407"/>
      <c r="C138" s="572" t="s">
        <v>315</v>
      </c>
      <c r="D138" s="250">
        <v>2210</v>
      </c>
      <c r="E138" s="206">
        <v>50000</v>
      </c>
      <c r="F138" s="207">
        <v>50000</v>
      </c>
      <c r="G138" s="208">
        <v>0</v>
      </c>
      <c r="H138" s="209">
        <f t="shared" ref="H138:H201" si="54">G138/E138</f>
        <v>0</v>
      </c>
      <c r="I138" s="252">
        <v>58000</v>
      </c>
      <c r="J138" s="211">
        <f t="shared" ref="J138" si="55">SUM(G138,I138)</f>
        <v>58000</v>
      </c>
      <c r="K138" s="212">
        <f t="shared" si="53"/>
        <v>1.1599999999999999</v>
      </c>
      <c r="L138" s="300"/>
    </row>
    <row r="139" spans="1:12" ht="15.75" customHeight="1" thickBot="1">
      <c r="A139" s="4261"/>
      <c r="B139" s="4217" t="s">
        <v>293</v>
      </c>
      <c r="C139" s="4218"/>
      <c r="D139" s="255"/>
      <c r="E139" s="256">
        <v>0</v>
      </c>
      <c r="F139" s="256">
        <v>0</v>
      </c>
      <c r="G139" s="319">
        <v>0</v>
      </c>
      <c r="H139" s="567"/>
      <c r="I139" s="568">
        <v>0</v>
      </c>
      <c r="J139" s="449">
        <v>0</v>
      </c>
      <c r="K139" s="450"/>
      <c r="L139" s="573"/>
    </row>
    <row r="140" spans="1:12" s="156" customFormat="1" ht="17.25" customHeight="1" thickBot="1">
      <c r="A140" s="391">
        <v>700</v>
      </c>
      <c r="B140" s="392"/>
      <c r="C140" s="182" t="s">
        <v>397</v>
      </c>
      <c r="D140" s="393"/>
      <c r="E140" s="184">
        <f>SUM(E141,)</f>
        <v>3415600</v>
      </c>
      <c r="F140" s="184">
        <f>SUM(F141,)</f>
        <v>3415600</v>
      </c>
      <c r="G140" s="185">
        <f>SUM(G141,)</f>
        <v>3809000</v>
      </c>
      <c r="H140" s="574">
        <f t="shared" si="54"/>
        <v>1.1151774212437053</v>
      </c>
      <c r="I140" s="184">
        <f>SUM(I141,)</f>
        <v>0</v>
      </c>
      <c r="J140" s="185">
        <f>SUM(J141,)</f>
        <v>3809000</v>
      </c>
      <c r="K140" s="187">
        <f t="shared" si="53"/>
        <v>1.1151774212437053</v>
      </c>
      <c r="L140" s="188"/>
    </row>
    <row r="141" spans="1:12" s="156" customFormat="1" ht="15.75" thickBot="1">
      <c r="A141" s="575"/>
      <c r="B141" s="396">
        <v>70005</v>
      </c>
      <c r="C141" s="191" t="s">
        <v>398</v>
      </c>
      <c r="D141" s="192"/>
      <c r="E141" s="236">
        <f>SUM(E142,E147)</f>
        <v>3415600</v>
      </c>
      <c r="F141" s="236">
        <f>SUM(F142,F147)</f>
        <v>3415600</v>
      </c>
      <c r="G141" s="237">
        <f>SUM(G142,G147)</f>
        <v>3809000</v>
      </c>
      <c r="H141" s="555">
        <f t="shared" si="54"/>
        <v>1.1151774212437053</v>
      </c>
      <c r="I141" s="236">
        <f>SUM(I142,I147)</f>
        <v>0</v>
      </c>
      <c r="J141" s="237">
        <f>SUM(J142,J147)</f>
        <v>3809000</v>
      </c>
      <c r="K141" s="238">
        <f t="shared" si="53"/>
        <v>1.1151774212437053</v>
      </c>
      <c r="L141" s="197"/>
    </row>
    <row r="142" spans="1:12" ht="15.75" customHeight="1">
      <c r="A142" s="576"/>
      <c r="B142" s="4247" t="s">
        <v>288</v>
      </c>
      <c r="C142" s="4223"/>
      <c r="D142" s="324"/>
      <c r="E142" s="325">
        <f>SUM(E143:E146)</f>
        <v>414000</v>
      </c>
      <c r="F142" s="325">
        <f>SUM(F143:F146)</f>
        <v>414000</v>
      </c>
      <c r="G142" s="326">
        <f>SUM(G143:G146)</f>
        <v>409000</v>
      </c>
      <c r="H142" s="559">
        <f t="shared" si="54"/>
        <v>0.98792270531400961</v>
      </c>
      <c r="I142" s="325">
        <f>SUM(I143:I146)</f>
        <v>0</v>
      </c>
      <c r="J142" s="326">
        <f>SUM(J143:J146)</f>
        <v>409000</v>
      </c>
      <c r="K142" s="203">
        <f t="shared" si="53"/>
        <v>0.98792270531400961</v>
      </c>
      <c r="L142" s="204"/>
    </row>
    <row r="143" spans="1:12">
      <c r="A143" s="576"/>
      <c r="B143" s="4252"/>
      <c r="C143" s="265" t="s">
        <v>399</v>
      </c>
      <c r="D143" s="205" t="s">
        <v>400</v>
      </c>
      <c r="E143" s="206">
        <v>330000</v>
      </c>
      <c r="F143" s="207">
        <v>330000</v>
      </c>
      <c r="G143" s="208">
        <v>330000</v>
      </c>
      <c r="H143" s="209">
        <f t="shared" si="54"/>
        <v>1</v>
      </c>
      <c r="I143" s="252">
        <v>0</v>
      </c>
      <c r="J143" s="211">
        <f t="shared" ref="J143:J146" si="56">SUM(G143,I143)</f>
        <v>330000</v>
      </c>
      <c r="K143" s="212">
        <f t="shared" si="53"/>
        <v>1</v>
      </c>
      <c r="L143" s="253"/>
    </row>
    <row r="144" spans="1:12" s="579" customFormat="1" ht="16.5" customHeight="1">
      <c r="A144" s="576"/>
      <c r="B144" s="4253"/>
      <c r="C144" s="443" t="s">
        <v>401</v>
      </c>
      <c r="D144" s="213" t="s">
        <v>402</v>
      </c>
      <c r="E144" s="206">
        <v>24000</v>
      </c>
      <c r="F144" s="577">
        <v>24000</v>
      </c>
      <c r="G144" s="578">
        <v>24000</v>
      </c>
      <c r="H144" s="209">
        <f t="shared" si="54"/>
        <v>1</v>
      </c>
      <c r="I144" s="252">
        <v>0</v>
      </c>
      <c r="J144" s="211">
        <f t="shared" si="56"/>
        <v>24000</v>
      </c>
      <c r="K144" s="212">
        <f t="shared" si="53"/>
        <v>1</v>
      </c>
      <c r="L144" s="253"/>
    </row>
    <row r="145" spans="1:12" s="579" customFormat="1">
      <c r="A145" s="576"/>
      <c r="B145" s="4253"/>
      <c r="C145" s="265" t="s">
        <v>403</v>
      </c>
      <c r="D145" s="205" t="s">
        <v>290</v>
      </c>
      <c r="E145" s="206">
        <v>40000</v>
      </c>
      <c r="F145" s="577">
        <v>40000</v>
      </c>
      <c r="G145" s="578">
        <v>30000</v>
      </c>
      <c r="H145" s="209">
        <f t="shared" si="54"/>
        <v>0.75</v>
      </c>
      <c r="I145" s="252">
        <v>0</v>
      </c>
      <c r="J145" s="211">
        <f t="shared" si="56"/>
        <v>30000</v>
      </c>
      <c r="K145" s="212">
        <f t="shared" si="53"/>
        <v>0.75</v>
      </c>
      <c r="L145" s="253"/>
    </row>
    <row r="146" spans="1:12">
      <c r="A146" s="576"/>
      <c r="B146" s="4253"/>
      <c r="C146" s="580" t="s">
        <v>404</v>
      </c>
      <c r="D146" s="429" t="s">
        <v>291</v>
      </c>
      <c r="E146" s="251">
        <v>20000</v>
      </c>
      <c r="F146" s="581">
        <v>20000</v>
      </c>
      <c r="G146" s="306">
        <v>25000</v>
      </c>
      <c r="H146" s="209">
        <f t="shared" si="54"/>
        <v>1.25</v>
      </c>
      <c r="I146" s="426">
        <v>0</v>
      </c>
      <c r="J146" s="211">
        <f t="shared" si="56"/>
        <v>25000</v>
      </c>
      <c r="K146" s="212">
        <f t="shared" si="53"/>
        <v>1.25</v>
      </c>
      <c r="L146" s="441"/>
    </row>
    <row r="147" spans="1:12">
      <c r="A147" s="576"/>
      <c r="B147" s="4199" t="s">
        <v>334</v>
      </c>
      <c r="C147" s="4254"/>
      <c r="D147" s="291"/>
      <c r="E147" s="218">
        <f>SUM(E148:E149)</f>
        <v>3001600</v>
      </c>
      <c r="F147" s="218">
        <f>SUM(F148:F149)</f>
        <v>3001600</v>
      </c>
      <c r="G147" s="292">
        <f>SUM(G148:G149)</f>
        <v>3400000</v>
      </c>
      <c r="H147" s="418">
        <f t="shared" si="54"/>
        <v>1.1327292110874201</v>
      </c>
      <c r="I147" s="218">
        <f>SUM(I148:I149)</f>
        <v>0</v>
      </c>
      <c r="J147" s="292">
        <f>SUM(J148:J149)</f>
        <v>3400000</v>
      </c>
      <c r="K147" s="419">
        <f t="shared" si="53"/>
        <v>1.1327292110874201</v>
      </c>
      <c r="L147" s="225"/>
    </row>
    <row r="148" spans="1:12" ht="30.75" customHeight="1" thickBot="1">
      <c r="A148" s="576"/>
      <c r="B148" s="582"/>
      <c r="C148" s="244" t="s">
        <v>405</v>
      </c>
      <c r="D148" s="460" t="s">
        <v>406</v>
      </c>
      <c r="E148" s="206">
        <v>1600</v>
      </c>
      <c r="F148" s="207">
        <v>1600</v>
      </c>
      <c r="G148" s="208">
        <v>0</v>
      </c>
      <c r="H148" s="209">
        <f t="shared" si="54"/>
        <v>0</v>
      </c>
      <c r="I148" s="252">
        <v>0</v>
      </c>
      <c r="J148" s="211">
        <f t="shared" ref="J148:J149" si="57">SUM(G148,I148)</f>
        <v>0</v>
      </c>
      <c r="K148" s="212">
        <f t="shared" si="53"/>
        <v>0</v>
      </c>
      <c r="L148" s="583"/>
    </row>
    <row r="149" spans="1:12" ht="31.5" customHeight="1" thickBot="1">
      <c r="A149" s="584"/>
      <c r="B149" s="585"/>
      <c r="C149" s="586" t="s">
        <v>407</v>
      </c>
      <c r="D149" s="587" t="s">
        <v>408</v>
      </c>
      <c r="E149" s="424">
        <v>3000000</v>
      </c>
      <c r="F149" s="588">
        <v>3000000</v>
      </c>
      <c r="G149" s="589">
        <v>3400000</v>
      </c>
      <c r="H149" s="590">
        <f t="shared" si="54"/>
        <v>1.1333333333333333</v>
      </c>
      <c r="I149" s="591">
        <v>0</v>
      </c>
      <c r="J149" s="592">
        <f t="shared" si="57"/>
        <v>3400000</v>
      </c>
      <c r="K149" s="593">
        <f t="shared" si="53"/>
        <v>1.1333333333333333</v>
      </c>
      <c r="L149" s="594" t="s">
        <v>409</v>
      </c>
    </row>
    <row r="150" spans="1:12" s="156" customFormat="1" ht="15.75" thickBot="1">
      <c r="A150" s="391">
        <v>710</v>
      </c>
      <c r="B150" s="595"/>
      <c r="C150" s="182" t="s">
        <v>410</v>
      </c>
      <c r="D150" s="393"/>
      <c r="E150" s="184">
        <f>SUM(E151,E157,E161)</f>
        <v>455308</v>
      </c>
      <c r="F150" s="184">
        <f>SUM(F151,F157,F161)</f>
        <v>455308</v>
      </c>
      <c r="G150" s="185">
        <f>SUM(G151,G157,G161)</f>
        <v>407383</v>
      </c>
      <c r="H150" s="574">
        <f t="shared" si="54"/>
        <v>0.89474158152283734</v>
      </c>
      <c r="I150" s="184">
        <f>SUM(I151,I157,I161)</f>
        <v>-51000</v>
      </c>
      <c r="J150" s="185">
        <f>SUM(J151,J157,J161)</f>
        <v>356383</v>
      </c>
      <c r="K150" s="187">
        <f t="shared" si="53"/>
        <v>0.78272949300253891</v>
      </c>
      <c r="L150" s="323"/>
    </row>
    <row r="151" spans="1:12" s="156" customFormat="1" ht="15.75" thickBot="1">
      <c r="A151" s="596"/>
      <c r="B151" s="597">
        <v>71003</v>
      </c>
      <c r="C151" s="191" t="s">
        <v>411</v>
      </c>
      <c r="D151" s="192"/>
      <c r="E151" s="314">
        <f>SUM(E152,E156)</f>
        <v>48000</v>
      </c>
      <c r="F151" s="314">
        <f>SUM(F152,F156)</f>
        <v>48000</v>
      </c>
      <c r="G151" s="315">
        <f>SUM(G152,G156)</f>
        <v>0</v>
      </c>
      <c r="H151" s="555">
        <f t="shared" si="54"/>
        <v>0</v>
      </c>
      <c r="I151" s="314">
        <f>SUM(I152,I156)</f>
        <v>0</v>
      </c>
      <c r="J151" s="315">
        <f>SUM(J152,J156)</f>
        <v>0</v>
      </c>
      <c r="K151" s="196">
        <f t="shared" si="53"/>
        <v>0</v>
      </c>
      <c r="L151" s="290"/>
    </row>
    <row r="152" spans="1:12" s="156" customFormat="1">
      <c r="A152" s="598"/>
      <c r="B152" s="4222" t="s">
        <v>288</v>
      </c>
      <c r="C152" s="4223"/>
      <c r="D152" s="324"/>
      <c r="E152" s="263">
        <f>SUM(E153:E155)</f>
        <v>48000</v>
      </c>
      <c r="F152" s="263">
        <f>SUM(F153:F155)</f>
        <v>48000</v>
      </c>
      <c r="G152" s="264">
        <f>SUM(G153:G155)</f>
        <v>0</v>
      </c>
      <c r="H152" s="559">
        <f t="shared" si="54"/>
        <v>0</v>
      </c>
      <c r="I152" s="263">
        <f>SUM(I153:I155)</f>
        <v>0</v>
      </c>
      <c r="J152" s="264">
        <f>SUM(J153:J155)</f>
        <v>0</v>
      </c>
      <c r="K152" s="599">
        <f t="shared" si="53"/>
        <v>0</v>
      </c>
      <c r="L152" s="204"/>
    </row>
    <row r="153" spans="1:12">
      <c r="A153" s="598"/>
      <c r="B153" s="4255"/>
      <c r="C153" s="4257" t="s">
        <v>412</v>
      </c>
      <c r="D153" s="213" t="s">
        <v>290</v>
      </c>
      <c r="E153" s="206">
        <v>3100</v>
      </c>
      <c r="F153" s="207">
        <v>3100</v>
      </c>
      <c r="G153" s="208">
        <v>0</v>
      </c>
      <c r="H153" s="209">
        <f t="shared" si="54"/>
        <v>0</v>
      </c>
      <c r="I153" s="210">
        <v>0</v>
      </c>
      <c r="J153" s="211">
        <f t="shared" ref="J153:J155" si="58">SUM(G153,I153)</f>
        <v>0</v>
      </c>
      <c r="K153" s="212">
        <f t="shared" si="53"/>
        <v>0</v>
      </c>
      <c r="L153" s="4243"/>
    </row>
    <row r="154" spans="1:12">
      <c r="A154" s="598"/>
      <c r="B154" s="4256"/>
      <c r="C154" s="4258"/>
      <c r="D154" s="205" t="s">
        <v>291</v>
      </c>
      <c r="E154" s="206">
        <v>44200</v>
      </c>
      <c r="F154" s="207">
        <v>44200</v>
      </c>
      <c r="G154" s="208">
        <v>0</v>
      </c>
      <c r="H154" s="209">
        <f t="shared" si="54"/>
        <v>0</v>
      </c>
      <c r="I154" s="210">
        <v>0</v>
      </c>
      <c r="J154" s="211">
        <f t="shared" si="58"/>
        <v>0</v>
      </c>
      <c r="K154" s="212">
        <f t="shared" si="53"/>
        <v>0</v>
      </c>
      <c r="L154" s="4244"/>
    </row>
    <row r="155" spans="1:12">
      <c r="A155" s="598"/>
      <c r="B155" s="4256"/>
      <c r="C155" s="4258"/>
      <c r="D155" s="205" t="s">
        <v>292</v>
      </c>
      <c r="E155" s="206">
        <v>700</v>
      </c>
      <c r="F155" s="207">
        <v>700</v>
      </c>
      <c r="G155" s="208">
        <v>0</v>
      </c>
      <c r="H155" s="209">
        <f t="shared" si="54"/>
        <v>0</v>
      </c>
      <c r="I155" s="215">
        <v>0</v>
      </c>
      <c r="J155" s="211">
        <f t="shared" si="58"/>
        <v>0</v>
      </c>
      <c r="K155" s="212">
        <f t="shared" si="53"/>
        <v>0</v>
      </c>
      <c r="L155" s="4245"/>
    </row>
    <row r="156" spans="1:12" s="156" customFormat="1" ht="14.25" customHeight="1" thickBot="1">
      <c r="A156" s="600"/>
      <c r="B156" s="4217" t="s">
        <v>293</v>
      </c>
      <c r="C156" s="4246"/>
      <c r="D156" s="255"/>
      <c r="E156" s="256">
        <v>0</v>
      </c>
      <c r="F156" s="256">
        <v>0</v>
      </c>
      <c r="G156" s="601">
        <v>0</v>
      </c>
      <c r="H156" s="602"/>
      <c r="I156" s="256">
        <v>0</v>
      </c>
      <c r="J156" s="601">
        <v>0</v>
      </c>
      <c r="K156" s="603"/>
      <c r="L156" s="225"/>
    </row>
    <row r="157" spans="1:12" ht="15.75" thickBot="1">
      <c r="A157" s="596"/>
      <c r="B157" s="396">
        <v>71005</v>
      </c>
      <c r="C157" s="192" t="s">
        <v>413</v>
      </c>
      <c r="D157" s="192"/>
      <c r="E157" s="236">
        <f t="shared" ref="E157:G157" si="59">SUM(E160,E158)</f>
        <v>158</v>
      </c>
      <c r="F157" s="236">
        <f t="shared" si="59"/>
        <v>158</v>
      </c>
      <c r="G157" s="237">
        <f t="shared" si="59"/>
        <v>263</v>
      </c>
      <c r="H157" s="555">
        <f t="shared" si="54"/>
        <v>1.6645569620253164</v>
      </c>
      <c r="I157" s="236">
        <f t="shared" ref="I157:J157" si="60">SUM(I160,I158)</f>
        <v>0</v>
      </c>
      <c r="J157" s="237">
        <f t="shared" si="60"/>
        <v>263</v>
      </c>
      <c r="K157" s="238">
        <f t="shared" si="53"/>
        <v>1.6645569620253164</v>
      </c>
      <c r="L157" s="197"/>
    </row>
    <row r="158" spans="1:12" ht="15" customHeight="1">
      <c r="A158" s="598"/>
      <c r="B158" s="4247" t="s">
        <v>288</v>
      </c>
      <c r="C158" s="4223"/>
      <c r="D158" s="324"/>
      <c r="E158" s="263">
        <f t="shared" ref="E158:J158" si="61">SUM(E159)</f>
        <v>158</v>
      </c>
      <c r="F158" s="263">
        <f t="shared" si="61"/>
        <v>158</v>
      </c>
      <c r="G158" s="264">
        <f t="shared" si="61"/>
        <v>263</v>
      </c>
      <c r="H158" s="559">
        <f t="shared" si="54"/>
        <v>1.6645569620253164</v>
      </c>
      <c r="I158" s="263">
        <f t="shared" si="61"/>
        <v>0</v>
      </c>
      <c r="J158" s="264">
        <f t="shared" si="61"/>
        <v>263</v>
      </c>
      <c r="K158" s="203">
        <f t="shared" si="53"/>
        <v>1.6645569620253164</v>
      </c>
      <c r="L158" s="204"/>
    </row>
    <row r="159" spans="1:12" ht="39.75" customHeight="1">
      <c r="A159" s="598"/>
      <c r="B159" s="604"/>
      <c r="C159" s="265" t="s">
        <v>326</v>
      </c>
      <c r="D159" s="249">
        <v>2360</v>
      </c>
      <c r="E159" s="206">
        <v>158</v>
      </c>
      <c r="F159" s="207">
        <v>158</v>
      </c>
      <c r="G159" s="208">
        <v>263</v>
      </c>
      <c r="H159" s="209">
        <f t="shared" si="54"/>
        <v>1.6645569620253164</v>
      </c>
      <c r="I159" s="252">
        <v>0</v>
      </c>
      <c r="J159" s="211">
        <f t="shared" ref="J159" si="62">SUM(G159,I159)</f>
        <v>263</v>
      </c>
      <c r="K159" s="212">
        <f t="shared" si="53"/>
        <v>1.6645569620253164</v>
      </c>
      <c r="L159" s="253"/>
    </row>
    <row r="160" spans="1:12" ht="16.5" customHeight="1" thickBot="1">
      <c r="A160" s="598"/>
      <c r="B160" s="4248" t="s">
        <v>293</v>
      </c>
      <c r="C160" s="4249"/>
      <c r="D160" s="318"/>
      <c r="E160" s="605">
        <v>0</v>
      </c>
      <c r="F160" s="219">
        <v>0</v>
      </c>
      <c r="G160" s="319">
        <v>0</v>
      </c>
      <c r="H160" s="567"/>
      <c r="I160" s="605">
        <v>0</v>
      </c>
      <c r="J160" s="606">
        <v>0</v>
      </c>
      <c r="K160" s="450"/>
      <c r="L160" s="259"/>
    </row>
    <row r="161" spans="1:12" ht="16.5" customHeight="1" thickBot="1">
      <c r="A161" s="598"/>
      <c r="B161" s="607">
        <v>71012</v>
      </c>
      <c r="C161" s="191" t="s">
        <v>414</v>
      </c>
      <c r="D161" s="192"/>
      <c r="E161" s="314">
        <f t="shared" ref="E161:G161" si="63">SUM(E162,E168)</f>
        <v>407150</v>
      </c>
      <c r="F161" s="314">
        <f t="shared" si="63"/>
        <v>407150</v>
      </c>
      <c r="G161" s="315">
        <f t="shared" si="63"/>
        <v>407120</v>
      </c>
      <c r="H161" s="555">
        <f t="shared" si="54"/>
        <v>0.9999263170821564</v>
      </c>
      <c r="I161" s="314">
        <f t="shared" ref="I161:J161" si="64">SUM(I162,I168)</f>
        <v>-51000</v>
      </c>
      <c r="J161" s="315">
        <f t="shared" si="64"/>
        <v>356120</v>
      </c>
      <c r="K161" s="238">
        <f t="shared" si="53"/>
        <v>0.87466535674812718</v>
      </c>
      <c r="L161" s="197"/>
    </row>
    <row r="162" spans="1:12" ht="15.75" customHeight="1">
      <c r="A162" s="598"/>
      <c r="B162" s="4247" t="s">
        <v>288</v>
      </c>
      <c r="C162" s="4223"/>
      <c r="D162" s="324"/>
      <c r="E162" s="263">
        <f t="shared" ref="E162:F162" si="65">SUM(E163:E167)</f>
        <v>407150</v>
      </c>
      <c r="F162" s="263">
        <f t="shared" si="65"/>
        <v>407150</v>
      </c>
      <c r="G162" s="264">
        <f t="shared" ref="G162" si="66">SUM(G163:G167)</f>
        <v>407120</v>
      </c>
      <c r="H162" s="559">
        <f t="shared" si="54"/>
        <v>0.9999263170821564</v>
      </c>
      <c r="I162" s="263">
        <f t="shared" ref="I162:J162" si="67">SUM(I163:I167)</f>
        <v>-51000</v>
      </c>
      <c r="J162" s="264">
        <f t="shared" si="67"/>
        <v>356120</v>
      </c>
      <c r="K162" s="203">
        <f t="shared" si="53"/>
        <v>0.87466535674812718</v>
      </c>
      <c r="L162" s="204"/>
    </row>
    <row r="163" spans="1:12" ht="15.75" customHeight="1">
      <c r="A163" s="598"/>
      <c r="B163" s="608"/>
      <c r="C163" s="4250" t="s">
        <v>415</v>
      </c>
      <c r="D163" s="205" t="s">
        <v>305</v>
      </c>
      <c r="E163" s="206">
        <v>9000</v>
      </c>
      <c r="F163" s="207">
        <v>9000</v>
      </c>
      <c r="G163" s="208">
        <v>9000</v>
      </c>
      <c r="H163" s="209">
        <f t="shared" si="54"/>
        <v>1</v>
      </c>
      <c r="I163" s="252">
        <v>0</v>
      </c>
      <c r="J163" s="211">
        <f t="shared" ref="J163:J164" si="68">SUM(G163,I163)</f>
        <v>9000</v>
      </c>
      <c r="K163" s="212">
        <f t="shared" si="53"/>
        <v>1</v>
      </c>
      <c r="L163" s="253"/>
    </row>
    <row r="164" spans="1:12" ht="14.25" customHeight="1">
      <c r="A164" s="598"/>
      <c r="B164" s="609"/>
      <c r="C164" s="4251"/>
      <c r="D164" s="213" t="s">
        <v>292</v>
      </c>
      <c r="E164" s="206">
        <v>150</v>
      </c>
      <c r="F164" s="207">
        <v>150</v>
      </c>
      <c r="G164" s="208">
        <v>120</v>
      </c>
      <c r="H164" s="209">
        <f t="shared" si="54"/>
        <v>0.8</v>
      </c>
      <c r="I164" s="252">
        <v>0</v>
      </c>
      <c r="J164" s="211">
        <f t="shared" si="68"/>
        <v>120</v>
      </c>
      <c r="K164" s="212">
        <f t="shared" si="53"/>
        <v>0.8</v>
      </c>
      <c r="L164" s="253"/>
    </row>
    <row r="165" spans="1:12" ht="76.5" hidden="1" customHeight="1">
      <c r="A165" s="598"/>
      <c r="B165" s="609"/>
      <c r="C165" s="610" t="s">
        <v>416</v>
      </c>
      <c r="D165" s="214" t="s">
        <v>417</v>
      </c>
      <c r="E165" s="246">
        <v>0</v>
      </c>
      <c r="F165" s="611"/>
      <c r="G165" s="612"/>
      <c r="H165" s="613" t="e">
        <f t="shared" si="54"/>
        <v>#DIV/0!</v>
      </c>
      <c r="I165" s="614"/>
      <c r="J165" s="615"/>
      <c r="K165" s="212" t="e">
        <f t="shared" si="53"/>
        <v>#DIV/0!</v>
      </c>
      <c r="L165" s="616"/>
    </row>
    <row r="166" spans="1:12" s="617" customFormat="1" ht="38.25">
      <c r="A166" s="598"/>
      <c r="B166" s="609"/>
      <c r="C166" s="316" t="s">
        <v>315</v>
      </c>
      <c r="D166" s="406" t="s">
        <v>418</v>
      </c>
      <c r="E166" s="206">
        <v>398000</v>
      </c>
      <c r="F166" s="207">
        <v>398000</v>
      </c>
      <c r="G166" s="208">
        <v>398000</v>
      </c>
      <c r="H166" s="209">
        <f t="shared" si="54"/>
        <v>1</v>
      </c>
      <c r="I166" s="252">
        <v>-51000</v>
      </c>
      <c r="J166" s="211">
        <f t="shared" ref="J166" si="69">SUM(G166,I166)</f>
        <v>347000</v>
      </c>
      <c r="K166" s="212">
        <f t="shared" si="53"/>
        <v>0.87185929648241201</v>
      </c>
      <c r="L166" s="253"/>
    </row>
    <row r="167" spans="1:12" ht="76.5" hidden="1" customHeight="1" thickBot="1">
      <c r="A167" s="598"/>
      <c r="B167" s="618"/>
      <c r="C167" s="619" t="s">
        <v>419</v>
      </c>
      <c r="D167" s="205" t="s">
        <v>420</v>
      </c>
      <c r="E167" s="206">
        <v>0</v>
      </c>
      <c r="F167" s="207"/>
      <c r="G167" s="208"/>
      <c r="H167" s="209" t="e">
        <f t="shared" si="54"/>
        <v>#DIV/0!</v>
      </c>
      <c r="I167" s="252"/>
      <c r="J167" s="211"/>
      <c r="K167" s="212" t="e">
        <f t="shared" si="53"/>
        <v>#DIV/0!</v>
      </c>
      <c r="L167" s="247"/>
    </row>
    <row r="168" spans="1:12" ht="15.75" thickBot="1">
      <c r="A168" s="600"/>
      <c r="B168" s="4217" t="s">
        <v>293</v>
      </c>
      <c r="C168" s="4235"/>
      <c r="D168" s="620"/>
      <c r="E168" s="256">
        <v>0</v>
      </c>
      <c r="F168" s="256">
        <v>0</v>
      </c>
      <c r="G168" s="257">
        <v>0</v>
      </c>
      <c r="H168" s="602"/>
      <c r="I168" s="256">
        <v>0</v>
      </c>
      <c r="J168" s="601">
        <v>0</v>
      </c>
      <c r="K168" s="419"/>
      <c r="L168" s="621"/>
    </row>
    <row r="169" spans="1:12" ht="15.75" hidden="1" thickBot="1">
      <c r="A169" s="598"/>
      <c r="B169" s="622">
        <v>71095</v>
      </c>
      <c r="C169" s="623" t="s">
        <v>312</v>
      </c>
      <c r="D169" s="624"/>
      <c r="E169" s="625">
        <v>0</v>
      </c>
      <c r="F169" s="533"/>
      <c r="G169" s="534"/>
      <c r="H169" s="626" t="e">
        <f t="shared" si="54"/>
        <v>#DIV/0!</v>
      </c>
      <c r="I169" s="215"/>
      <c r="J169" s="479"/>
      <c r="K169" s="212" t="e">
        <f t="shared" si="53"/>
        <v>#DIV/0!</v>
      </c>
      <c r="L169" s="376"/>
    </row>
    <row r="170" spans="1:12" ht="54" hidden="1" customHeight="1" thickBot="1">
      <c r="A170" s="598"/>
      <c r="B170" s="4236" t="s">
        <v>288</v>
      </c>
      <c r="C170" s="4237"/>
      <c r="D170" s="627"/>
      <c r="E170" s="628">
        <v>0</v>
      </c>
      <c r="F170" s="230"/>
      <c r="G170" s="231"/>
      <c r="H170" s="209" t="e">
        <f t="shared" si="54"/>
        <v>#DIV/0!</v>
      </c>
      <c r="I170" s="252"/>
      <c r="J170" s="211"/>
      <c r="K170" s="212" t="e">
        <f t="shared" si="53"/>
        <v>#DIV/0!</v>
      </c>
      <c r="L170" s="247"/>
    </row>
    <row r="171" spans="1:12" ht="57" hidden="1" customHeight="1" thickBot="1">
      <c r="A171" s="598"/>
      <c r="B171" s="629"/>
      <c r="C171" s="630" t="s">
        <v>315</v>
      </c>
      <c r="D171" s="631">
        <v>2210</v>
      </c>
      <c r="E171" s="632"/>
      <c r="F171" s="230"/>
      <c r="G171" s="231"/>
      <c r="H171" s="209" t="e">
        <f t="shared" si="54"/>
        <v>#DIV/0!</v>
      </c>
      <c r="I171" s="252"/>
      <c r="J171" s="211"/>
      <c r="K171" s="212" t="e">
        <f t="shared" si="53"/>
        <v>#DIV/0!</v>
      </c>
      <c r="L171" s="247"/>
    </row>
    <row r="172" spans="1:12" ht="16.5" hidden="1" customHeight="1" thickBot="1">
      <c r="A172" s="598"/>
      <c r="B172" s="4238" t="s">
        <v>293</v>
      </c>
      <c r="C172" s="4239"/>
      <c r="D172" s="633"/>
      <c r="E172" s="634">
        <v>0</v>
      </c>
      <c r="F172" s="230"/>
      <c r="G172" s="541"/>
      <c r="H172" s="635" t="e">
        <f t="shared" si="54"/>
        <v>#DIV/0!</v>
      </c>
      <c r="I172" s="426"/>
      <c r="J172" s="636"/>
      <c r="K172" s="234" t="e">
        <f t="shared" si="53"/>
        <v>#DIV/0!</v>
      </c>
      <c r="L172" s="235"/>
    </row>
    <row r="173" spans="1:12" s="156" customFormat="1" ht="15.75" thickBot="1">
      <c r="A173" s="391">
        <v>720</v>
      </c>
      <c r="B173" s="393"/>
      <c r="C173" s="637" t="s">
        <v>421</v>
      </c>
      <c r="D173" s="638"/>
      <c r="E173" s="321">
        <f>SUM(E174,)</f>
        <v>4742265</v>
      </c>
      <c r="F173" s="321">
        <f>SUM(F174,)</f>
        <v>4742265</v>
      </c>
      <c r="G173" s="322">
        <f>SUM(G174,)</f>
        <v>4391100</v>
      </c>
      <c r="H173" s="186">
        <f t="shared" si="54"/>
        <v>0.92594994164181044</v>
      </c>
      <c r="I173" s="321">
        <f>SUM(I174,)</f>
        <v>0</v>
      </c>
      <c r="J173" s="322">
        <f>SUM(J174,)</f>
        <v>4391100</v>
      </c>
      <c r="K173" s="187">
        <f t="shared" si="53"/>
        <v>0.92594994164181044</v>
      </c>
      <c r="L173" s="639"/>
    </row>
    <row r="174" spans="1:12" ht="15.75" thickBot="1">
      <c r="A174" s="4240"/>
      <c r="B174" s="396">
        <v>72095</v>
      </c>
      <c r="C174" s="191" t="s">
        <v>312</v>
      </c>
      <c r="D174" s="192"/>
      <c r="E174" s="314">
        <f>SUM(E175,E177)</f>
        <v>4742265</v>
      </c>
      <c r="F174" s="314">
        <f>SUM(F175,F177)</f>
        <v>4742265</v>
      </c>
      <c r="G174" s="315">
        <f>SUM(G175,G177)</f>
        <v>4391100</v>
      </c>
      <c r="H174" s="555">
        <f t="shared" si="54"/>
        <v>0.92594994164181044</v>
      </c>
      <c r="I174" s="314">
        <f>SUM(I175,I177)</f>
        <v>0</v>
      </c>
      <c r="J174" s="315">
        <f>SUM(J175,J177)</f>
        <v>4391100</v>
      </c>
      <c r="K174" s="196">
        <f t="shared" si="53"/>
        <v>0.92594994164181044</v>
      </c>
      <c r="L174" s="290"/>
    </row>
    <row r="175" spans="1:12" s="579" customFormat="1">
      <c r="A175" s="4241"/>
      <c r="B175" s="4201" t="s">
        <v>288</v>
      </c>
      <c r="C175" s="4205"/>
      <c r="D175" s="239"/>
      <c r="E175" s="240">
        <f>SUM(E176:E176)</f>
        <v>4742265</v>
      </c>
      <c r="F175" s="240">
        <f>SUM(F176:F176)</f>
        <v>4742265</v>
      </c>
      <c r="G175" s="241">
        <f>SUM(G176:G176)</f>
        <v>4391100</v>
      </c>
      <c r="H175" s="559">
        <f t="shared" si="54"/>
        <v>0.92594994164181044</v>
      </c>
      <c r="I175" s="240">
        <f>SUM(I176:I176)</f>
        <v>0</v>
      </c>
      <c r="J175" s="241">
        <f>SUM(J176:J176)</f>
        <v>4391100</v>
      </c>
      <c r="K175" s="203">
        <f t="shared" si="53"/>
        <v>0.92594994164181044</v>
      </c>
      <c r="L175" s="294"/>
    </row>
    <row r="176" spans="1:12" ht="51.75" customHeight="1">
      <c r="A176" s="4241"/>
      <c r="B176" s="640"/>
      <c r="C176" s="547" t="s">
        <v>422</v>
      </c>
      <c r="D176" s="205" t="s">
        <v>292</v>
      </c>
      <c r="E176" s="206">
        <v>4742265</v>
      </c>
      <c r="F176" s="207">
        <v>4742265</v>
      </c>
      <c r="G176" s="208">
        <v>4391100</v>
      </c>
      <c r="H176" s="209">
        <f t="shared" si="54"/>
        <v>0.92594994164181044</v>
      </c>
      <c r="I176" s="252">
        <v>0</v>
      </c>
      <c r="J176" s="211">
        <f t="shared" ref="J176" si="70">SUM(G176,I176)</f>
        <v>4391100</v>
      </c>
      <c r="K176" s="212">
        <f t="shared" si="53"/>
        <v>0.92594994164181044</v>
      </c>
      <c r="L176" s="300"/>
    </row>
    <row r="177" spans="1:12" s="156" customFormat="1" ht="15.75" thickBot="1">
      <c r="A177" s="4242"/>
      <c r="B177" s="4217" t="s">
        <v>293</v>
      </c>
      <c r="C177" s="4218"/>
      <c r="D177" s="641"/>
      <c r="E177" s="256">
        <v>0</v>
      </c>
      <c r="F177" s="256">
        <f t="shared" ref="F177" si="71">F178</f>
        <v>0</v>
      </c>
      <c r="G177" s="257">
        <v>0</v>
      </c>
      <c r="H177" s="602"/>
      <c r="I177" s="256">
        <v>0</v>
      </c>
      <c r="J177" s="601">
        <f t="shared" ref="J177" si="72">J178</f>
        <v>0</v>
      </c>
      <c r="K177" s="419"/>
      <c r="L177" s="279"/>
    </row>
    <row r="178" spans="1:12" ht="15.75" hidden="1" thickBot="1">
      <c r="A178" s="642"/>
      <c r="B178" s="643"/>
      <c r="C178" s="644" t="s">
        <v>423</v>
      </c>
      <c r="D178" s="645" t="s">
        <v>424</v>
      </c>
      <c r="E178" s="646">
        <v>0</v>
      </c>
      <c r="F178" s="533"/>
      <c r="G178" s="285"/>
      <c r="H178" s="613" t="e">
        <f t="shared" si="54"/>
        <v>#DIV/0!</v>
      </c>
      <c r="I178" s="614"/>
      <c r="J178" s="615"/>
      <c r="K178" s="234" t="e">
        <f t="shared" si="53"/>
        <v>#DIV/0!</v>
      </c>
      <c r="L178" s="288"/>
    </row>
    <row r="179" spans="1:12" ht="15.75" thickBot="1">
      <c r="A179" s="391">
        <v>730</v>
      </c>
      <c r="B179" s="647"/>
      <c r="C179" s="637" t="s">
        <v>425</v>
      </c>
      <c r="D179" s="393"/>
      <c r="E179" s="321">
        <f>SUM(E180,E191)</f>
        <v>97274</v>
      </c>
      <c r="F179" s="321">
        <f>SUM(F180,F191)</f>
        <v>97274</v>
      </c>
      <c r="G179" s="322">
        <f>SUM(G180,G191)</f>
        <v>0</v>
      </c>
      <c r="H179" s="574">
        <f t="shared" si="54"/>
        <v>0</v>
      </c>
      <c r="I179" s="321">
        <f>SUM(I180,I191)</f>
        <v>0</v>
      </c>
      <c r="J179" s="322">
        <f>SUM(J180,J191)</f>
        <v>0</v>
      </c>
      <c r="K179" s="187">
        <f t="shared" si="53"/>
        <v>0</v>
      </c>
      <c r="L179" s="323"/>
    </row>
    <row r="180" spans="1:12" ht="16.5" hidden="1" customHeight="1" thickBot="1">
      <c r="A180" s="648"/>
      <c r="B180" s="597">
        <v>73016</v>
      </c>
      <c r="C180" s="649" t="s">
        <v>426</v>
      </c>
      <c r="D180" s="192"/>
      <c r="E180" s="314">
        <f t="shared" ref="E180:G180" si="73">SUM(E181,E187)</f>
        <v>0</v>
      </c>
      <c r="F180" s="314">
        <f t="shared" si="73"/>
        <v>0</v>
      </c>
      <c r="G180" s="315">
        <f t="shared" si="73"/>
        <v>0</v>
      </c>
      <c r="H180" s="626" t="e">
        <f t="shared" si="54"/>
        <v>#DIV/0!</v>
      </c>
      <c r="I180" s="314">
        <f t="shared" ref="I180:J180" si="74">SUM(I181,I187)</f>
        <v>0</v>
      </c>
      <c r="J180" s="315">
        <f t="shared" si="74"/>
        <v>0</v>
      </c>
      <c r="K180" s="375" t="e">
        <f t="shared" si="53"/>
        <v>#DIV/0!</v>
      </c>
      <c r="L180" s="290"/>
    </row>
    <row r="181" spans="1:12" ht="20.25" hidden="1" customHeight="1">
      <c r="A181" s="650"/>
      <c r="B181" s="4222" t="s">
        <v>288</v>
      </c>
      <c r="C181" s="4223"/>
      <c r="D181" s="458"/>
      <c r="E181" s="240">
        <f>SUM(E182:E183)</f>
        <v>0</v>
      </c>
      <c r="F181" s="240">
        <f>SUM(F182:F183)</f>
        <v>0</v>
      </c>
      <c r="G181" s="241">
        <f>SUM(G182:G183)</f>
        <v>0</v>
      </c>
      <c r="H181" s="209" t="e">
        <f t="shared" si="54"/>
        <v>#DIV/0!</v>
      </c>
      <c r="I181" s="240">
        <f>SUM(I182:I183)</f>
        <v>0</v>
      </c>
      <c r="J181" s="241">
        <f>SUM(J182:J183)</f>
        <v>0</v>
      </c>
      <c r="K181" s="212" t="e">
        <f t="shared" si="53"/>
        <v>#DIV/0!</v>
      </c>
      <c r="L181" s="294"/>
    </row>
    <row r="182" spans="1:12" ht="22.5" hidden="1" customHeight="1">
      <c r="A182" s="650"/>
      <c r="B182" s="651"/>
      <c r="C182" s="652" t="s">
        <v>427</v>
      </c>
      <c r="D182" s="205" t="s">
        <v>307</v>
      </c>
      <c r="E182" s="653">
        <v>0</v>
      </c>
      <c r="F182" s="207"/>
      <c r="G182" s="208"/>
      <c r="H182" s="209" t="e">
        <f t="shared" si="54"/>
        <v>#DIV/0!</v>
      </c>
      <c r="I182" s="653">
        <v>0</v>
      </c>
      <c r="J182" s="654">
        <v>0</v>
      </c>
      <c r="K182" s="212" t="e">
        <f t="shared" si="53"/>
        <v>#DIV/0!</v>
      </c>
      <c r="L182" s="297"/>
    </row>
    <row r="183" spans="1:12" ht="39" hidden="1" thickBot="1">
      <c r="A183" s="650"/>
      <c r="B183" s="651"/>
      <c r="C183" s="265" t="s">
        <v>428</v>
      </c>
      <c r="D183" s="205" t="s">
        <v>314</v>
      </c>
      <c r="E183" s="653">
        <v>0</v>
      </c>
      <c r="F183" s="207">
        <v>0</v>
      </c>
      <c r="G183" s="208">
        <v>0</v>
      </c>
      <c r="H183" s="209" t="e">
        <f t="shared" si="54"/>
        <v>#DIV/0!</v>
      </c>
      <c r="I183" s="653">
        <v>0</v>
      </c>
      <c r="J183" s="654">
        <v>0</v>
      </c>
      <c r="K183" s="212" t="e">
        <f t="shared" si="53"/>
        <v>#DIV/0!</v>
      </c>
      <c r="L183" s="297"/>
    </row>
    <row r="184" spans="1:12" ht="15.75" hidden="1" thickBot="1">
      <c r="A184" s="655"/>
      <c r="B184" s="4217" t="s">
        <v>293</v>
      </c>
      <c r="C184" s="4218"/>
      <c r="D184" s="641"/>
      <c r="E184" s="256">
        <v>0</v>
      </c>
      <c r="F184" s="256">
        <v>0</v>
      </c>
      <c r="G184" s="257">
        <v>0</v>
      </c>
      <c r="H184" s="209" t="e">
        <f t="shared" si="54"/>
        <v>#DIV/0!</v>
      </c>
      <c r="I184" s="256">
        <v>0</v>
      </c>
      <c r="J184" s="601">
        <v>0</v>
      </c>
      <c r="K184" s="212" t="e">
        <f t="shared" si="53"/>
        <v>#DIV/0!</v>
      </c>
      <c r="L184" s="279"/>
    </row>
    <row r="185" spans="1:12" ht="26.25" hidden="1" thickBot="1">
      <c r="A185" s="650"/>
      <c r="B185" s="656">
        <v>73090</v>
      </c>
      <c r="C185" s="657" t="s">
        <v>429</v>
      </c>
      <c r="D185" s="454"/>
      <c r="E185" s="455">
        <v>0</v>
      </c>
      <c r="F185" s="658">
        <f>SUM(F186,F189)</f>
        <v>0</v>
      </c>
      <c r="G185" s="659">
        <f>SUM(G186,G190)</f>
        <v>0</v>
      </c>
      <c r="H185" s="209" t="e">
        <f t="shared" si="54"/>
        <v>#DIV/0!</v>
      </c>
      <c r="I185" s="455">
        <v>0</v>
      </c>
      <c r="J185" s="456">
        <v>0</v>
      </c>
      <c r="K185" s="212" t="e">
        <f t="shared" si="53"/>
        <v>#DIV/0!</v>
      </c>
      <c r="L185" s="660"/>
    </row>
    <row r="186" spans="1:12" ht="51" hidden="1" customHeight="1">
      <c r="A186" s="650"/>
      <c r="B186" s="4224" t="s">
        <v>288</v>
      </c>
      <c r="C186" s="4225"/>
      <c r="D186" s="458"/>
      <c r="E186" s="661">
        <v>0</v>
      </c>
      <c r="F186" s="263">
        <v>0</v>
      </c>
      <c r="G186" s="264">
        <v>0</v>
      </c>
      <c r="H186" s="209" t="e">
        <f t="shared" si="54"/>
        <v>#DIV/0!</v>
      </c>
      <c r="I186" s="661">
        <v>0</v>
      </c>
      <c r="J186" s="662">
        <v>0</v>
      </c>
      <c r="K186" s="212" t="e">
        <f t="shared" si="53"/>
        <v>#DIV/0!</v>
      </c>
      <c r="L186" s="663"/>
    </row>
    <row r="187" spans="1:12" ht="41.25" hidden="1" customHeight="1">
      <c r="A187" s="648"/>
      <c r="B187" s="4226"/>
      <c r="C187" s="664" t="s">
        <v>430</v>
      </c>
      <c r="D187" s="665" t="s">
        <v>431</v>
      </c>
      <c r="E187" s="666"/>
      <c r="F187" s="667"/>
      <c r="G187" s="668"/>
      <c r="H187" s="209" t="e">
        <f t="shared" si="54"/>
        <v>#DIV/0!</v>
      </c>
      <c r="I187" s="666"/>
      <c r="J187" s="669"/>
      <c r="K187" s="212" t="e">
        <f t="shared" si="53"/>
        <v>#DIV/0!</v>
      </c>
      <c r="L187" s="670"/>
    </row>
    <row r="188" spans="1:12" ht="22.5" hidden="1" customHeight="1">
      <c r="A188" s="650"/>
      <c r="B188" s="4227"/>
      <c r="C188" s="4228" t="s">
        <v>432</v>
      </c>
      <c r="D188" s="205" t="s">
        <v>433</v>
      </c>
      <c r="E188" s="653"/>
      <c r="F188" s="207"/>
      <c r="G188" s="208"/>
      <c r="H188" s="209" t="e">
        <f t="shared" si="54"/>
        <v>#DIV/0!</v>
      </c>
      <c r="I188" s="653"/>
      <c r="J188" s="654"/>
      <c r="K188" s="212" t="e">
        <f t="shared" si="53"/>
        <v>#DIV/0!</v>
      </c>
      <c r="L188" s="297"/>
    </row>
    <row r="189" spans="1:12" ht="22.5" hidden="1" customHeight="1">
      <c r="A189" s="4230"/>
      <c r="B189" s="4227"/>
      <c r="C189" s="4229"/>
      <c r="D189" s="205" t="s">
        <v>434</v>
      </c>
      <c r="E189" s="653"/>
      <c r="F189" s="207"/>
      <c r="G189" s="208"/>
      <c r="H189" s="209" t="e">
        <f t="shared" si="54"/>
        <v>#DIV/0!</v>
      </c>
      <c r="I189" s="653"/>
      <c r="J189" s="654"/>
      <c r="K189" s="212" t="e">
        <f t="shared" si="53"/>
        <v>#DIV/0!</v>
      </c>
      <c r="L189" s="297"/>
    </row>
    <row r="190" spans="1:12" ht="15.75" hidden="1" customHeight="1" thickBot="1">
      <c r="A190" s="4230"/>
      <c r="B190" s="4217" t="s">
        <v>293</v>
      </c>
      <c r="C190" s="4218"/>
      <c r="D190" s="641"/>
      <c r="E190" s="218">
        <v>0</v>
      </c>
      <c r="F190" s="218">
        <v>0</v>
      </c>
      <c r="G190" s="220">
        <v>0</v>
      </c>
      <c r="H190" s="635" t="e">
        <f t="shared" si="54"/>
        <v>#DIV/0!</v>
      </c>
      <c r="I190" s="218">
        <v>0</v>
      </c>
      <c r="J190" s="292">
        <v>0</v>
      </c>
      <c r="K190" s="234" t="e">
        <f t="shared" si="53"/>
        <v>#DIV/0!</v>
      </c>
      <c r="L190" s="663"/>
    </row>
    <row r="191" spans="1:12" ht="15.75" thickBot="1">
      <c r="A191" s="4230"/>
      <c r="B191" s="597">
        <v>73095</v>
      </c>
      <c r="C191" s="649" t="s">
        <v>312</v>
      </c>
      <c r="D191" s="192"/>
      <c r="E191" s="236">
        <f t="shared" ref="E191:G191" si="75">SUM(E192,E197)</f>
        <v>97274</v>
      </c>
      <c r="F191" s="236">
        <f t="shared" si="75"/>
        <v>97274</v>
      </c>
      <c r="G191" s="237">
        <f t="shared" si="75"/>
        <v>0</v>
      </c>
      <c r="H191" s="555">
        <f t="shared" si="54"/>
        <v>0</v>
      </c>
      <c r="I191" s="236">
        <f t="shared" ref="I191:J191" si="76">SUM(I192,I197)</f>
        <v>0</v>
      </c>
      <c r="J191" s="237">
        <f t="shared" si="76"/>
        <v>0</v>
      </c>
      <c r="K191" s="238">
        <f t="shared" si="53"/>
        <v>0</v>
      </c>
      <c r="L191" s="290"/>
    </row>
    <row r="192" spans="1:12">
      <c r="A192" s="4230"/>
      <c r="B192" s="4201" t="s">
        <v>288</v>
      </c>
      <c r="C192" s="4205"/>
      <c r="D192" s="239"/>
      <c r="E192" s="263">
        <f t="shared" ref="E192:F192" si="77">SUM(E193:E196)</f>
        <v>97274</v>
      </c>
      <c r="F192" s="263">
        <f t="shared" si="77"/>
        <v>97274</v>
      </c>
      <c r="G192" s="264">
        <f t="shared" ref="G192" si="78">SUM(G193:G196)</f>
        <v>0</v>
      </c>
      <c r="H192" s="559">
        <f t="shared" si="54"/>
        <v>0</v>
      </c>
      <c r="I192" s="263">
        <f t="shared" ref="I192:J192" si="79">SUM(I193:I196)</f>
        <v>0</v>
      </c>
      <c r="J192" s="264">
        <f t="shared" si="79"/>
        <v>0</v>
      </c>
      <c r="K192" s="203">
        <f t="shared" si="53"/>
        <v>0</v>
      </c>
      <c r="L192" s="294"/>
    </row>
    <row r="193" spans="1:12" ht="63.75" hidden="1" customHeight="1">
      <c r="A193" s="4230"/>
      <c r="B193" s="4232"/>
      <c r="C193" s="248" t="s">
        <v>435</v>
      </c>
      <c r="D193" s="205" t="s">
        <v>433</v>
      </c>
      <c r="E193" s="206"/>
      <c r="F193" s="207"/>
      <c r="G193" s="208"/>
      <c r="H193" s="209" t="e">
        <f t="shared" si="54"/>
        <v>#DIV/0!</v>
      </c>
      <c r="I193" s="252"/>
      <c r="J193" s="211"/>
      <c r="K193" s="212" t="e">
        <f t="shared" si="53"/>
        <v>#DIV/0!</v>
      </c>
      <c r="L193" s="297"/>
    </row>
    <row r="194" spans="1:12" ht="69" customHeight="1">
      <c r="A194" s="4230"/>
      <c r="B194" s="4233"/>
      <c r="C194" s="443" t="s">
        <v>436</v>
      </c>
      <c r="D194" s="4215" t="s">
        <v>437</v>
      </c>
      <c r="E194" s="206">
        <v>97274</v>
      </c>
      <c r="F194" s="207">
        <v>97274</v>
      </c>
      <c r="G194" s="208">
        <v>0</v>
      </c>
      <c r="H194" s="209">
        <f t="shared" si="54"/>
        <v>0</v>
      </c>
      <c r="I194" s="252">
        <v>0</v>
      </c>
      <c r="J194" s="211">
        <f t="shared" ref="J194" si="80">SUM(G194,I194)</f>
        <v>0</v>
      </c>
      <c r="K194" s="212">
        <f t="shared" si="53"/>
        <v>0</v>
      </c>
      <c r="L194" s="300"/>
    </row>
    <row r="195" spans="1:12" ht="52.5" hidden="1" customHeight="1">
      <c r="A195" s="4230"/>
      <c r="B195" s="4233"/>
      <c r="C195" s="443" t="s">
        <v>438</v>
      </c>
      <c r="D195" s="4216"/>
      <c r="E195" s="206"/>
      <c r="F195" s="207"/>
      <c r="G195" s="208"/>
      <c r="H195" s="209" t="e">
        <f t="shared" si="54"/>
        <v>#DIV/0!</v>
      </c>
      <c r="I195" s="252"/>
      <c r="J195" s="211"/>
      <c r="K195" s="212" t="e">
        <f t="shared" si="53"/>
        <v>#DIV/0!</v>
      </c>
      <c r="L195" s="297"/>
    </row>
    <row r="196" spans="1:12" ht="27.75" hidden="1" customHeight="1">
      <c r="A196" s="4230"/>
      <c r="B196" s="4234"/>
      <c r="C196" s="298" t="s">
        <v>439</v>
      </c>
      <c r="D196" s="317">
        <v>2950</v>
      </c>
      <c r="E196" s="206">
        <v>0</v>
      </c>
      <c r="F196" s="207">
        <v>0</v>
      </c>
      <c r="G196" s="208">
        <v>0</v>
      </c>
      <c r="H196" s="209" t="e">
        <f t="shared" si="54"/>
        <v>#DIV/0!</v>
      </c>
      <c r="I196" s="252"/>
      <c r="J196" s="211"/>
      <c r="K196" s="212" t="e">
        <f t="shared" si="53"/>
        <v>#DIV/0!</v>
      </c>
      <c r="L196" s="297"/>
    </row>
    <row r="197" spans="1:12" ht="15.75" thickBot="1">
      <c r="A197" s="4231"/>
      <c r="B197" s="4217" t="s">
        <v>293</v>
      </c>
      <c r="C197" s="4218"/>
      <c r="D197" s="255"/>
      <c r="E197" s="256">
        <v>0</v>
      </c>
      <c r="F197" s="256">
        <v>0</v>
      </c>
      <c r="G197" s="257">
        <v>0</v>
      </c>
      <c r="H197" s="671"/>
      <c r="I197" s="448"/>
      <c r="J197" s="672"/>
      <c r="K197" s="450"/>
      <c r="L197" s="279"/>
    </row>
    <row r="198" spans="1:12" ht="17.25" customHeight="1" thickBot="1">
      <c r="A198" s="391">
        <v>750</v>
      </c>
      <c r="B198" s="647"/>
      <c r="C198" s="637" t="s">
        <v>440</v>
      </c>
      <c r="D198" s="393"/>
      <c r="E198" s="321">
        <f>SUM(E199,E204,E222,E236,E240,E232,E227)</f>
        <v>9841146</v>
      </c>
      <c r="F198" s="321">
        <f>SUM(F199,F204,F222,F236,F240,F232,F227)</f>
        <v>10362593</v>
      </c>
      <c r="G198" s="321">
        <f>SUM(G199,G204,G222,G236,G240,G232,G227)</f>
        <v>6815938</v>
      </c>
      <c r="H198" s="186">
        <f>G198/E198</f>
        <v>0.69259596392533962</v>
      </c>
      <c r="I198" s="321">
        <f>SUM(I199,I204,I222,I236,I240,I232,I227)</f>
        <v>315143</v>
      </c>
      <c r="J198" s="322">
        <f>SUM(J199,J204,J222,J236,J240,J232,J227)</f>
        <v>7131081</v>
      </c>
      <c r="K198" s="187">
        <f t="shared" si="53"/>
        <v>0.68815604356940396</v>
      </c>
      <c r="L198" s="639"/>
    </row>
    <row r="199" spans="1:12" ht="18.75" customHeight="1" thickBot="1">
      <c r="A199" s="673"/>
      <c r="B199" s="464">
        <v>75011</v>
      </c>
      <c r="C199" s="674" t="s">
        <v>441</v>
      </c>
      <c r="D199" s="466"/>
      <c r="E199" s="467">
        <f t="shared" ref="E199:G199" si="81">SUM(E200,E203)</f>
        <v>242526</v>
      </c>
      <c r="F199" s="467">
        <f t="shared" si="81"/>
        <v>242526</v>
      </c>
      <c r="G199" s="468">
        <f t="shared" si="81"/>
        <v>684</v>
      </c>
      <c r="H199" s="555">
        <f t="shared" si="54"/>
        <v>2.8203161722866825E-3</v>
      </c>
      <c r="I199" s="467">
        <f t="shared" ref="I199:J199" si="82">SUM(I200,I203)</f>
        <v>276000</v>
      </c>
      <c r="J199" s="468">
        <f t="shared" si="82"/>
        <v>276684</v>
      </c>
      <c r="K199" s="238">
        <f t="shared" si="53"/>
        <v>1.1408426313055096</v>
      </c>
      <c r="L199" s="469"/>
    </row>
    <row r="200" spans="1:12" ht="15" customHeight="1">
      <c r="A200" s="675"/>
      <c r="B200" s="4183" t="s">
        <v>288</v>
      </c>
      <c r="C200" s="4208"/>
      <c r="D200" s="676"/>
      <c r="E200" s="677">
        <f>SUM(E201:E202)</f>
        <v>242526</v>
      </c>
      <c r="F200" s="677">
        <f>SUM(F201:F202)</f>
        <v>242526</v>
      </c>
      <c r="G200" s="678">
        <f>SUM(G201:G202)</f>
        <v>684</v>
      </c>
      <c r="H200" s="559">
        <f t="shared" si="54"/>
        <v>2.8203161722866825E-3</v>
      </c>
      <c r="I200" s="677">
        <f>SUM(I201:I202)</f>
        <v>276000</v>
      </c>
      <c r="J200" s="678">
        <f>SUM(J201:J202)</f>
        <v>276684</v>
      </c>
      <c r="K200" s="203">
        <f t="shared" si="53"/>
        <v>1.1408426313055096</v>
      </c>
      <c r="L200" s="474"/>
    </row>
    <row r="201" spans="1:12" ht="38.25">
      <c r="A201" s="675"/>
      <c r="B201" s="679"/>
      <c r="C201" s="680" t="s">
        <v>442</v>
      </c>
      <c r="D201" s="521">
        <v>2210</v>
      </c>
      <c r="E201" s="681">
        <v>242000</v>
      </c>
      <c r="F201" s="477">
        <v>242000</v>
      </c>
      <c r="G201" s="548">
        <v>0</v>
      </c>
      <c r="H201" s="209">
        <f t="shared" si="54"/>
        <v>0</v>
      </c>
      <c r="I201" s="252">
        <v>276000</v>
      </c>
      <c r="J201" s="211">
        <f t="shared" ref="J201:J202" si="83">SUM(G201,I201)</f>
        <v>276000</v>
      </c>
      <c r="K201" s="212">
        <f t="shared" ref="K201:K264" si="84">J201/F201</f>
        <v>1.140495867768595</v>
      </c>
      <c r="L201" s="253"/>
    </row>
    <row r="202" spans="1:12" ht="38.25">
      <c r="A202" s="675"/>
      <c r="B202" s="682"/>
      <c r="C202" s="298" t="s">
        <v>326</v>
      </c>
      <c r="D202" s="299">
        <v>2360</v>
      </c>
      <c r="E202" s="206">
        <v>526</v>
      </c>
      <c r="F202" s="207">
        <v>526</v>
      </c>
      <c r="G202" s="208">
        <v>684</v>
      </c>
      <c r="H202" s="209">
        <f t="shared" ref="H202:H272" si="85">G202/E202</f>
        <v>1.3003802281368821</v>
      </c>
      <c r="I202" s="252">
        <v>0</v>
      </c>
      <c r="J202" s="211">
        <f t="shared" si="83"/>
        <v>684</v>
      </c>
      <c r="K202" s="212">
        <f t="shared" si="84"/>
        <v>1.3003802281368821</v>
      </c>
      <c r="L202" s="683"/>
    </row>
    <row r="203" spans="1:12" ht="15" customHeight="1" thickBot="1">
      <c r="A203" s="675"/>
      <c r="B203" s="4209" t="s">
        <v>293</v>
      </c>
      <c r="C203" s="4210"/>
      <c r="D203" s="684"/>
      <c r="E203" s="685">
        <v>0</v>
      </c>
      <c r="F203" s="685">
        <v>0</v>
      </c>
      <c r="G203" s="686">
        <v>0</v>
      </c>
      <c r="H203" s="671"/>
      <c r="I203" s="685">
        <v>0</v>
      </c>
      <c r="J203" s="687">
        <v>0</v>
      </c>
      <c r="K203" s="450"/>
      <c r="L203" s="688"/>
    </row>
    <row r="204" spans="1:12" ht="19.5" customHeight="1" thickBot="1">
      <c r="A204" s="675"/>
      <c r="B204" s="464">
        <v>75018</v>
      </c>
      <c r="C204" s="465" t="s">
        <v>443</v>
      </c>
      <c r="D204" s="466"/>
      <c r="E204" s="467">
        <f t="shared" ref="E204:G204" si="86">SUM(E205,E219)</f>
        <v>240000</v>
      </c>
      <c r="F204" s="467">
        <f t="shared" si="86"/>
        <v>240000</v>
      </c>
      <c r="G204" s="468">
        <f t="shared" si="86"/>
        <v>240180</v>
      </c>
      <c r="H204" s="555">
        <f t="shared" si="85"/>
        <v>1.00075</v>
      </c>
      <c r="I204" s="467">
        <f t="shared" ref="I204:J204" si="87">SUM(I205,I219)</f>
        <v>9880</v>
      </c>
      <c r="J204" s="468">
        <f t="shared" si="87"/>
        <v>250060</v>
      </c>
      <c r="K204" s="238">
        <f t="shared" si="84"/>
        <v>1.0419166666666666</v>
      </c>
      <c r="L204" s="469"/>
    </row>
    <row r="205" spans="1:12" ht="15" customHeight="1">
      <c r="A205" s="675"/>
      <c r="B205" s="4175" t="s">
        <v>288</v>
      </c>
      <c r="C205" s="4219"/>
      <c r="D205" s="689"/>
      <c r="E205" s="677">
        <f>SUM(E206:E218)</f>
        <v>240000</v>
      </c>
      <c r="F205" s="677">
        <f>SUM(F206:F218)</f>
        <v>240000</v>
      </c>
      <c r="G205" s="678">
        <f>SUM(G206:G218)</f>
        <v>240180</v>
      </c>
      <c r="H205" s="559">
        <f t="shared" si="85"/>
        <v>1.00075</v>
      </c>
      <c r="I205" s="677">
        <f>SUM(I206:I218)</f>
        <v>5281</v>
      </c>
      <c r="J205" s="678">
        <f>SUM(J206:J218)</f>
        <v>245461</v>
      </c>
      <c r="K205" s="203">
        <f t="shared" si="84"/>
        <v>1.0227541666666666</v>
      </c>
      <c r="L205" s="690"/>
    </row>
    <row r="206" spans="1:12" ht="16.5" hidden="1" customHeight="1">
      <c r="A206" s="675"/>
      <c r="B206" s="4220"/>
      <c r="C206" s="4221" t="s">
        <v>298</v>
      </c>
      <c r="D206" s="691" t="s">
        <v>402</v>
      </c>
      <c r="E206" s="692">
        <v>0</v>
      </c>
      <c r="F206" s="693">
        <v>0</v>
      </c>
      <c r="G206" s="694">
        <v>0</v>
      </c>
      <c r="H206" s="209"/>
      <c r="I206" s="215"/>
      <c r="J206" s="479"/>
      <c r="K206" s="212" t="e">
        <f t="shared" si="84"/>
        <v>#DIV/0!</v>
      </c>
      <c r="L206" s="695"/>
    </row>
    <row r="207" spans="1:12" ht="16.5" hidden="1" customHeight="1">
      <c r="A207" s="675"/>
      <c r="B207" s="4220"/>
      <c r="C207" s="4221"/>
      <c r="D207" s="475" t="s">
        <v>367</v>
      </c>
      <c r="E207" s="681">
        <v>0</v>
      </c>
      <c r="F207" s="477">
        <v>0</v>
      </c>
      <c r="G207" s="548">
        <v>0</v>
      </c>
      <c r="H207" s="209"/>
      <c r="I207" s="252"/>
      <c r="J207" s="211"/>
      <c r="K207" s="212" t="e">
        <f t="shared" si="84"/>
        <v>#DIV/0!</v>
      </c>
      <c r="L207" s="247"/>
    </row>
    <row r="208" spans="1:12" ht="16.5" hidden="1" customHeight="1">
      <c r="A208" s="675"/>
      <c r="B208" s="4220"/>
      <c r="C208" s="4221"/>
      <c r="D208" s="696" t="s">
        <v>444</v>
      </c>
      <c r="E208" s="681">
        <v>0</v>
      </c>
      <c r="F208" s="477">
        <v>0</v>
      </c>
      <c r="G208" s="548">
        <v>0</v>
      </c>
      <c r="H208" s="209"/>
      <c r="I208" s="252"/>
      <c r="J208" s="211"/>
      <c r="K208" s="212" t="e">
        <f t="shared" si="84"/>
        <v>#DIV/0!</v>
      </c>
      <c r="L208" s="247"/>
    </row>
    <row r="209" spans="1:12" ht="16.5" hidden="1" customHeight="1">
      <c r="A209" s="675"/>
      <c r="B209" s="4220"/>
      <c r="C209" s="4221"/>
      <c r="D209" s="481" t="s">
        <v>305</v>
      </c>
      <c r="E209" s="681"/>
      <c r="F209" s="477"/>
      <c r="G209" s="548"/>
      <c r="H209" s="209" t="e">
        <f t="shared" si="85"/>
        <v>#DIV/0!</v>
      </c>
      <c r="I209" s="252"/>
      <c r="J209" s="211"/>
      <c r="K209" s="212" t="e">
        <f t="shared" si="84"/>
        <v>#DIV/0!</v>
      </c>
      <c r="L209" s="247"/>
    </row>
    <row r="210" spans="1:12" ht="16.5" customHeight="1">
      <c r="A210" s="675"/>
      <c r="B210" s="4220"/>
      <c r="C210" s="4221"/>
      <c r="D210" s="480" t="s">
        <v>290</v>
      </c>
      <c r="E210" s="681">
        <v>100000</v>
      </c>
      <c r="F210" s="477">
        <v>100000</v>
      </c>
      <c r="G210" s="548">
        <v>100000</v>
      </c>
      <c r="H210" s="209">
        <f t="shared" si="85"/>
        <v>1</v>
      </c>
      <c r="I210" s="252">
        <v>0</v>
      </c>
      <c r="J210" s="211">
        <f t="shared" ref="J210:J211" si="88">SUM(G210,I210)</f>
        <v>100000</v>
      </c>
      <c r="K210" s="212">
        <f t="shared" si="84"/>
        <v>1</v>
      </c>
      <c r="L210" s="253"/>
    </row>
    <row r="211" spans="1:12" ht="16.5" customHeight="1">
      <c r="A211" s="675"/>
      <c r="B211" s="4220"/>
      <c r="C211" s="4221"/>
      <c r="D211" s="481" t="s">
        <v>291</v>
      </c>
      <c r="E211" s="681">
        <v>40000</v>
      </c>
      <c r="F211" s="477">
        <v>40000</v>
      </c>
      <c r="G211" s="548">
        <v>40000</v>
      </c>
      <c r="H211" s="209">
        <f t="shared" si="85"/>
        <v>1</v>
      </c>
      <c r="I211" s="252">
        <v>0</v>
      </c>
      <c r="J211" s="211">
        <f t="shared" si="88"/>
        <v>40000</v>
      </c>
      <c r="K211" s="212">
        <f t="shared" si="84"/>
        <v>1</v>
      </c>
      <c r="L211" s="253"/>
    </row>
    <row r="212" spans="1:12" ht="16.5" hidden="1" customHeight="1">
      <c r="A212" s="675"/>
      <c r="B212" s="4220"/>
      <c r="C212" s="4221"/>
      <c r="D212" s="481" t="s">
        <v>307</v>
      </c>
      <c r="E212" s="681">
        <v>0</v>
      </c>
      <c r="F212" s="477">
        <v>0</v>
      </c>
      <c r="G212" s="548">
        <v>0</v>
      </c>
      <c r="H212" s="209"/>
      <c r="I212" s="252"/>
      <c r="J212" s="211"/>
      <c r="K212" s="212" t="e">
        <f t="shared" si="84"/>
        <v>#DIV/0!</v>
      </c>
      <c r="L212" s="253"/>
    </row>
    <row r="213" spans="1:12" ht="16.5" customHeight="1">
      <c r="A213" s="675"/>
      <c r="B213" s="4220"/>
      <c r="C213" s="4221"/>
      <c r="D213" s="481" t="s">
        <v>314</v>
      </c>
      <c r="E213" s="681">
        <v>80000</v>
      </c>
      <c r="F213" s="477">
        <v>80000</v>
      </c>
      <c r="G213" s="548">
        <v>80000</v>
      </c>
      <c r="H213" s="209">
        <f t="shared" si="85"/>
        <v>1</v>
      </c>
      <c r="I213" s="252">
        <v>0</v>
      </c>
      <c r="J213" s="211">
        <f t="shared" ref="J213" si="89">SUM(G213,I213)</f>
        <v>80000</v>
      </c>
      <c r="K213" s="212">
        <f t="shared" si="84"/>
        <v>1</v>
      </c>
      <c r="L213" s="253"/>
    </row>
    <row r="214" spans="1:12" ht="16.5" hidden="1" customHeight="1">
      <c r="A214" s="675"/>
      <c r="B214" s="4220"/>
      <c r="C214" s="4221"/>
      <c r="D214" s="481" t="s">
        <v>299</v>
      </c>
      <c r="E214" s="681">
        <v>0</v>
      </c>
      <c r="F214" s="477">
        <v>0</v>
      </c>
      <c r="G214" s="548">
        <v>0</v>
      </c>
      <c r="H214" s="209"/>
      <c r="I214" s="252"/>
      <c r="J214" s="211"/>
      <c r="K214" s="212" t="e">
        <f t="shared" si="84"/>
        <v>#DIV/0!</v>
      </c>
      <c r="L214" s="253"/>
    </row>
    <row r="215" spans="1:12" ht="14.25" customHeight="1">
      <c r="A215" s="675"/>
      <c r="B215" s="4220"/>
      <c r="C215" s="4221"/>
      <c r="D215" s="697" t="s">
        <v>292</v>
      </c>
      <c r="E215" s="698">
        <v>20000</v>
      </c>
      <c r="F215" s="699">
        <v>20000</v>
      </c>
      <c r="G215" s="700">
        <v>20000</v>
      </c>
      <c r="H215" s="209">
        <f t="shared" si="85"/>
        <v>1</v>
      </c>
      <c r="I215" s="426">
        <v>0</v>
      </c>
      <c r="J215" s="211">
        <f t="shared" ref="J215:J221" si="90">SUM(G215,I215)</f>
        <v>20000</v>
      </c>
      <c r="K215" s="212">
        <f t="shared" si="84"/>
        <v>1</v>
      </c>
      <c r="L215" s="441"/>
    </row>
    <row r="216" spans="1:12" ht="25.5" customHeight="1">
      <c r="A216" s="675"/>
      <c r="B216" s="4220"/>
      <c r="C216" s="316" t="s">
        <v>415</v>
      </c>
      <c r="D216" s="205" t="s">
        <v>292</v>
      </c>
      <c r="E216" s="681">
        <v>0</v>
      </c>
      <c r="F216" s="477">
        <v>0</v>
      </c>
      <c r="G216" s="548">
        <v>180</v>
      </c>
      <c r="H216" s="209"/>
      <c r="I216" s="252">
        <v>0</v>
      </c>
      <c r="J216" s="211">
        <f t="shared" si="90"/>
        <v>180</v>
      </c>
      <c r="K216" s="212"/>
      <c r="L216" s="297"/>
    </row>
    <row r="217" spans="1:12" ht="63.75">
      <c r="A217" s="675"/>
      <c r="B217" s="701"/>
      <c r="C217" s="402" t="s">
        <v>445</v>
      </c>
      <c r="D217" s="213" t="s">
        <v>446</v>
      </c>
      <c r="E217" s="702">
        <v>0</v>
      </c>
      <c r="F217" s="703">
        <v>0</v>
      </c>
      <c r="G217" s="704">
        <v>0</v>
      </c>
      <c r="H217" s="626"/>
      <c r="I217" s="215">
        <v>4451</v>
      </c>
      <c r="J217" s="479">
        <f t="shared" si="90"/>
        <v>4451</v>
      </c>
      <c r="K217" s="375"/>
      <c r="L217" s="297"/>
    </row>
    <row r="218" spans="1:12" ht="63.75">
      <c r="A218" s="675"/>
      <c r="B218" s="705"/>
      <c r="C218" s="316" t="s">
        <v>447</v>
      </c>
      <c r="D218" s="213" t="s">
        <v>448</v>
      </c>
      <c r="E218" s="401">
        <v>0</v>
      </c>
      <c r="F218" s="408">
        <v>0</v>
      </c>
      <c r="G218" s="409">
        <v>0</v>
      </c>
      <c r="H218" s="626"/>
      <c r="I218" s="215">
        <v>830</v>
      </c>
      <c r="J218" s="211">
        <f t="shared" si="90"/>
        <v>830</v>
      </c>
      <c r="K218" s="212"/>
      <c r="L218" s="660"/>
    </row>
    <row r="219" spans="1:12">
      <c r="A219" s="675"/>
      <c r="B219" s="4199" t="s">
        <v>334</v>
      </c>
      <c r="C219" s="4200"/>
      <c r="D219" s="324"/>
      <c r="E219" s="325">
        <f>SUM(E220:E221)</f>
        <v>0</v>
      </c>
      <c r="F219" s="325">
        <f>SUM(F220:F221)</f>
        <v>0</v>
      </c>
      <c r="G219" s="325">
        <f>SUM(G220:G221)</f>
        <v>0</v>
      </c>
      <c r="H219" s="418"/>
      <c r="I219" s="325">
        <f>SUM(I220:I221)</f>
        <v>4599</v>
      </c>
      <c r="J219" s="326">
        <f>SUM(J220:J221)</f>
        <v>4599</v>
      </c>
      <c r="K219" s="419"/>
      <c r="L219" s="294"/>
    </row>
    <row r="220" spans="1:12" ht="63.75">
      <c r="A220" s="675"/>
      <c r="B220" s="447"/>
      <c r="C220" s="316" t="s">
        <v>445</v>
      </c>
      <c r="D220" s="706">
        <v>6257</v>
      </c>
      <c r="E220" s="681">
        <v>0</v>
      </c>
      <c r="F220" s="477">
        <v>0</v>
      </c>
      <c r="G220" s="548">
        <v>0</v>
      </c>
      <c r="H220" s="707"/>
      <c r="I220" s="708">
        <v>3876</v>
      </c>
      <c r="J220" s="211">
        <f t="shared" si="90"/>
        <v>3876</v>
      </c>
      <c r="K220" s="212"/>
      <c r="L220" s="709"/>
    </row>
    <row r="221" spans="1:12" ht="64.5" thickBot="1">
      <c r="A221" s="710"/>
      <c r="B221" s="226"/>
      <c r="C221" s="412" t="s">
        <v>447</v>
      </c>
      <c r="D221" s="587" t="s">
        <v>449</v>
      </c>
      <c r="E221" s="424">
        <v>0</v>
      </c>
      <c r="F221" s="588">
        <v>0</v>
      </c>
      <c r="G221" s="589">
        <v>0</v>
      </c>
      <c r="H221" s="590"/>
      <c r="I221" s="591">
        <v>723</v>
      </c>
      <c r="J221" s="592">
        <f t="shared" si="90"/>
        <v>723</v>
      </c>
      <c r="K221" s="358"/>
      <c r="L221" s="288"/>
    </row>
    <row r="222" spans="1:12" ht="15.75" thickBot="1">
      <c r="A222" s="711"/>
      <c r="B222" s="464">
        <v>75046</v>
      </c>
      <c r="C222" s="465" t="s">
        <v>450</v>
      </c>
      <c r="D222" s="466"/>
      <c r="E222" s="467">
        <f t="shared" ref="E222:G222" si="91">SUM(E223,E226)</f>
        <v>21316</v>
      </c>
      <c r="F222" s="467">
        <f t="shared" si="91"/>
        <v>21316</v>
      </c>
      <c r="G222" s="468">
        <f t="shared" si="91"/>
        <v>21053</v>
      </c>
      <c r="H222" s="555">
        <f t="shared" si="85"/>
        <v>0.98766185025333086</v>
      </c>
      <c r="I222" s="467">
        <f t="shared" ref="I222:J222" si="92">SUM(I223,I226)</f>
        <v>263</v>
      </c>
      <c r="J222" s="468">
        <f t="shared" si="92"/>
        <v>21316</v>
      </c>
      <c r="K222" s="238">
        <f t="shared" si="84"/>
        <v>1</v>
      </c>
      <c r="L222" s="469"/>
    </row>
    <row r="223" spans="1:12">
      <c r="A223" s="712"/>
      <c r="B223" s="4183" t="s">
        <v>288</v>
      </c>
      <c r="C223" s="4208"/>
      <c r="D223" s="676"/>
      <c r="E223" s="677">
        <f t="shared" ref="E223:F223" si="93">SUM(E224:E225)</f>
        <v>21316</v>
      </c>
      <c r="F223" s="677">
        <f t="shared" si="93"/>
        <v>21316</v>
      </c>
      <c r="G223" s="678">
        <f t="shared" ref="G223" si="94">SUM(G224:G225)</f>
        <v>21053</v>
      </c>
      <c r="H223" s="559">
        <f t="shared" si="85"/>
        <v>0.98766185025333086</v>
      </c>
      <c r="I223" s="677">
        <f t="shared" ref="I223:J223" si="95">SUM(I224:I225)</f>
        <v>263</v>
      </c>
      <c r="J223" s="678">
        <f t="shared" si="95"/>
        <v>21316</v>
      </c>
      <c r="K223" s="203">
        <f t="shared" si="84"/>
        <v>1</v>
      </c>
      <c r="L223" s="474"/>
    </row>
    <row r="224" spans="1:12" ht="43.5" customHeight="1">
      <c r="A224" s="712"/>
      <c r="B224" s="713"/>
      <c r="C224" s="680" t="s">
        <v>315</v>
      </c>
      <c r="D224" s="521">
        <v>2210</v>
      </c>
      <c r="E224" s="681">
        <v>20000</v>
      </c>
      <c r="F224" s="477">
        <v>20000</v>
      </c>
      <c r="G224" s="548">
        <v>20000</v>
      </c>
      <c r="H224" s="209">
        <f t="shared" si="85"/>
        <v>1</v>
      </c>
      <c r="I224" s="252">
        <v>0</v>
      </c>
      <c r="J224" s="211">
        <f t="shared" ref="J224:J225" si="96">SUM(G224,I224)</f>
        <v>20000</v>
      </c>
      <c r="K224" s="212">
        <f t="shared" si="84"/>
        <v>1</v>
      </c>
      <c r="L224" s="494"/>
    </row>
    <row r="225" spans="1:12" s="579" customFormat="1" ht="43.5" customHeight="1">
      <c r="A225" s="712"/>
      <c r="B225" s="714"/>
      <c r="C225" s="715" t="s">
        <v>326</v>
      </c>
      <c r="D225" s="716">
        <v>2360</v>
      </c>
      <c r="E225" s="702">
        <v>1316</v>
      </c>
      <c r="F225" s="518">
        <v>1316</v>
      </c>
      <c r="G225" s="717">
        <v>1053</v>
      </c>
      <c r="H225" s="626">
        <f t="shared" si="85"/>
        <v>0.80015197568389063</v>
      </c>
      <c r="I225" s="215">
        <v>263</v>
      </c>
      <c r="J225" s="211">
        <f t="shared" si="96"/>
        <v>1316</v>
      </c>
      <c r="K225" s="212">
        <f t="shared" si="84"/>
        <v>1</v>
      </c>
      <c r="L225" s="718"/>
    </row>
    <row r="226" spans="1:12" s="579" customFormat="1" ht="15" customHeight="1" thickBot="1">
      <c r="A226" s="712"/>
      <c r="B226" s="4209" t="s">
        <v>293</v>
      </c>
      <c r="C226" s="4210"/>
      <c r="D226" s="684"/>
      <c r="E226" s="685">
        <v>0</v>
      </c>
      <c r="F226" s="685">
        <v>0</v>
      </c>
      <c r="G226" s="719">
        <v>0</v>
      </c>
      <c r="H226" s="567"/>
      <c r="I226" s="685">
        <v>0</v>
      </c>
      <c r="J226" s="687">
        <v>0</v>
      </c>
      <c r="K226" s="450"/>
      <c r="L226" s="720"/>
    </row>
    <row r="227" spans="1:12" s="579" customFormat="1" ht="15" customHeight="1" thickBot="1">
      <c r="A227" s="675"/>
      <c r="B227" s="721">
        <v>75075</v>
      </c>
      <c r="C227" s="722" t="s">
        <v>451</v>
      </c>
      <c r="D227" s="723"/>
      <c r="E227" s="467">
        <f>SUM(E231,E228)</f>
        <v>33900</v>
      </c>
      <c r="F227" s="467">
        <f>SUM(F231,F228)</f>
        <v>33900</v>
      </c>
      <c r="G227" s="724">
        <f>SUM(G231,G228)</f>
        <v>0</v>
      </c>
      <c r="H227" s="725">
        <f t="shared" ref="H227:H230" si="97">G227/F227</f>
        <v>0</v>
      </c>
      <c r="I227" s="467">
        <f>SUM(I231,I228)</f>
        <v>0</v>
      </c>
      <c r="J227" s="468">
        <f>SUM(J231,J228)</f>
        <v>0</v>
      </c>
      <c r="K227" s="238">
        <f t="shared" si="84"/>
        <v>0</v>
      </c>
      <c r="L227" s="726"/>
    </row>
    <row r="228" spans="1:12" s="579" customFormat="1" ht="15" customHeight="1">
      <c r="A228" s="675"/>
      <c r="B228" s="4175" t="s">
        <v>288</v>
      </c>
      <c r="C228" s="4211"/>
      <c r="D228" s="470"/>
      <c r="E228" s="472">
        <f>SUM(E229:E230)</f>
        <v>33900</v>
      </c>
      <c r="F228" s="472">
        <f>SUM(F229:F230)</f>
        <v>33900</v>
      </c>
      <c r="G228" s="727">
        <f>SUM(G229:G230)</f>
        <v>0</v>
      </c>
      <c r="H228" s="728">
        <f t="shared" si="97"/>
        <v>0</v>
      </c>
      <c r="I228" s="472">
        <f>SUM(I229:I230)</f>
        <v>0</v>
      </c>
      <c r="J228" s="473">
        <f>SUM(J229:J230)</f>
        <v>0</v>
      </c>
      <c r="K228" s="203">
        <f t="shared" si="84"/>
        <v>0</v>
      </c>
      <c r="L228" s="729"/>
    </row>
    <row r="229" spans="1:12" ht="82.5" customHeight="1">
      <c r="A229" s="675"/>
      <c r="B229" s="4212"/>
      <c r="C229" s="730" t="s">
        <v>452</v>
      </c>
      <c r="D229" s="696" t="s">
        <v>437</v>
      </c>
      <c r="E229" s="681">
        <v>32000</v>
      </c>
      <c r="F229" s="477">
        <v>32000</v>
      </c>
      <c r="G229" s="731">
        <v>0</v>
      </c>
      <c r="H229" s="732">
        <f t="shared" si="97"/>
        <v>0</v>
      </c>
      <c r="I229" s="733">
        <v>0</v>
      </c>
      <c r="J229" s="211">
        <f t="shared" ref="J229:J230" si="98">SUM(G229,I229)</f>
        <v>0</v>
      </c>
      <c r="K229" s="212">
        <f t="shared" si="84"/>
        <v>0</v>
      </c>
      <c r="L229" s="734"/>
    </row>
    <row r="230" spans="1:12" ht="81.75" customHeight="1">
      <c r="A230" s="675"/>
      <c r="B230" s="4212"/>
      <c r="C230" s="730" t="s">
        <v>453</v>
      </c>
      <c r="D230" s="696" t="s">
        <v>448</v>
      </c>
      <c r="E230" s="681">
        <v>1900</v>
      </c>
      <c r="F230" s="477">
        <v>1900</v>
      </c>
      <c r="G230" s="731">
        <v>0</v>
      </c>
      <c r="H230" s="732">
        <f t="shared" si="97"/>
        <v>0</v>
      </c>
      <c r="I230" s="735">
        <v>0</v>
      </c>
      <c r="J230" s="211">
        <f t="shared" si="98"/>
        <v>0</v>
      </c>
      <c r="K230" s="212">
        <f t="shared" si="84"/>
        <v>0</v>
      </c>
      <c r="L230" s="736"/>
    </row>
    <row r="231" spans="1:12" ht="15" customHeight="1" thickBot="1">
      <c r="A231" s="675"/>
      <c r="B231" s="4213" t="s">
        <v>293</v>
      </c>
      <c r="C231" s="4214"/>
      <c r="D231" s="684"/>
      <c r="E231" s="685">
        <v>0</v>
      </c>
      <c r="F231" s="685">
        <v>0</v>
      </c>
      <c r="G231" s="737">
        <v>0</v>
      </c>
      <c r="H231" s="738"/>
      <c r="I231" s="685">
        <v>0</v>
      </c>
      <c r="J231" s="687">
        <v>0</v>
      </c>
      <c r="K231" s="450"/>
      <c r="L231" s="739"/>
    </row>
    <row r="232" spans="1:12" ht="15" customHeight="1" thickBot="1">
      <c r="A232" s="675"/>
      <c r="B232" s="656">
        <v>75079</v>
      </c>
      <c r="C232" s="740" t="s">
        <v>454</v>
      </c>
      <c r="D232" s="741"/>
      <c r="E232" s="455">
        <f t="shared" ref="E232:G232" si="99">SUM(E233,E235)</f>
        <v>0</v>
      </c>
      <c r="F232" s="455">
        <f t="shared" si="99"/>
        <v>60000</v>
      </c>
      <c r="G232" s="456">
        <f t="shared" si="99"/>
        <v>0</v>
      </c>
      <c r="H232" s="742"/>
      <c r="I232" s="455">
        <f t="shared" ref="I232:J232" si="100">SUM(I233,I235)</f>
        <v>0</v>
      </c>
      <c r="J232" s="456">
        <f t="shared" si="100"/>
        <v>0</v>
      </c>
      <c r="K232" s="238">
        <f t="shared" si="84"/>
        <v>0</v>
      </c>
      <c r="L232" s="457"/>
    </row>
    <row r="233" spans="1:12" ht="15" customHeight="1">
      <c r="A233" s="675"/>
      <c r="B233" s="4201" t="s">
        <v>288</v>
      </c>
      <c r="C233" s="4202"/>
      <c r="D233" s="239"/>
      <c r="E233" s="240">
        <f t="shared" ref="E233:J233" si="101">SUM(E234)</f>
        <v>0</v>
      </c>
      <c r="F233" s="240">
        <f t="shared" si="101"/>
        <v>60000</v>
      </c>
      <c r="G233" s="241">
        <f t="shared" si="101"/>
        <v>0</v>
      </c>
      <c r="H233" s="559"/>
      <c r="I233" s="240">
        <f t="shared" si="101"/>
        <v>0</v>
      </c>
      <c r="J233" s="241">
        <f t="shared" si="101"/>
        <v>0</v>
      </c>
      <c r="K233" s="203">
        <f t="shared" si="84"/>
        <v>0</v>
      </c>
      <c r="L233" s="294"/>
    </row>
    <row r="234" spans="1:12" ht="43.5" customHeight="1">
      <c r="A234" s="675"/>
      <c r="B234" s="743"/>
      <c r="C234" s="744" t="s">
        <v>455</v>
      </c>
      <c r="D234" s="745">
        <v>2220</v>
      </c>
      <c r="E234" s="206">
        <v>0</v>
      </c>
      <c r="F234" s="207">
        <v>60000</v>
      </c>
      <c r="G234" s="208">
        <v>0</v>
      </c>
      <c r="H234" s="209"/>
      <c r="I234" s="252">
        <v>0</v>
      </c>
      <c r="J234" s="211">
        <f t="shared" ref="J234" si="102">SUM(G234,I234)</f>
        <v>0</v>
      </c>
      <c r="K234" s="212">
        <f t="shared" si="84"/>
        <v>0</v>
      </c>
      <c r="L234" s="297"/>
    </row>
    <row r="235" spans="1:12" ht="15" customHeight="1" thickBot="1">
      <c r="A235" s="675"/>
      <c r="B235" s="4203" t="s">
        <v>293</v>
      </c>
      <c r="C235" s="4204"/>
      <c r="D235" s="255"/>
      <c r="E235" s="256">
        <v>0</v>
      </c>
      <c r="F235" s="256">
        <v>0</v>
      </c>
      <c r="G235" s="257">
        <v>0</v>
      </c>
      <c r="H235" s="567"/>
      <c r="I235" s="256">
        <v>0</v>
      </c>
      <c r="J235" s="601">
        <v>0</v>
      </c>
      <c r="K235" s="450"/>
      <c r="L235" s="573"/>
    </row>
    <row r="236" spans="1:12" ht="15" customHeight="1" thickBot="1">
      <c r="A236" s="712"/>
      <c r="B236" s="746">
        <v>75084</v>
      </c>
      <c r="C236" s="747" t="s">
        <v>456</v>
      </c>
      <c r="D236" s="748"/>
      <c r="E236" s="749">
        <f t="shared" ref="E236:G236" si="103">SUM(E237,E239)</f>
        <v>225000</v>
      </c>
      <c r="F236" s="749">
        <f t="shared" si="103"/>
        <v>225000</v>
      </c>
      <c r="G236" s="750">
        <f t="shared" si="103"/>
        <v>225000</v>
      </c>
      <c r="H236" s="555">
        <f t="shared" si="85"/>
        <v>1</v>
      </c>
      <c r="I236" s="749">
        <f t="shared" ref="I236:J236" si="104">SUM(I237,I239)</f>
        <v>29000</v>
      </c>
      <c r="J236" s="750">
        <f t="shared" si="104"/>
        <v>254000</v>
      </c>
      <c r="K236" s="238">
        <f t="shared" si="84"/>
        <v>1.1288888888888888</v>
      </c>
      <c r="L236" s="469"/>
    </row>
    <row r="237" spans="1:12" ht="15" customHeight="1">
      <c r="A237" s="712"/>
      <c r="B237" s="4175" t="s">
        <v>288</v>
      </c>
      <c r="C237" s="4176"/>
      <c r="D237" s="470"/>
      <c r="E237" s="472">
        <f t="shared" ref="E237:G237" si="105">SUM(E238)</f>
        <v>225000</v>
      </c>
      <c r="F237" s="472">
        <f t="shared" si="105"/>
        <v>225000</v>
      </c>
      <c r="G237" s="473">
        <f t="shared" si="105"/>
        <v>225000</v>
      </c>
      <c r="H237" s="559">
        <f t="shared" si="85"/>
        <v>1</v>
      </c>
      <c r="I237" s="472">
        <f t="shared" ref="I237:J237" si="106">SUM(I238)</f>
        <v>29000</v>
      </c>
      <c r="J237" s="473">
        <f t="shared" si="106"/>
        <v>254000</v>
      </c>
      <c r="K237" s="203">
        <f t="shared" si="84"/>
        <v>1.1288888888888888</v>
      </c>
      <c r="L237" s="474"/>
    </row>
    <row r="238" spans="1:12" ht="43.5" customHeight="1">
      <c r="A238" s="712"/>
      <c r="B238" s="751"/>
      <c r="C238" s="752" t="s">
        <v>315</v>
      </c>
      <c r="D238" s="753">
        <v>2210</v>
      </c>
      <c r="E238" s="681">
        <v>225000</v>
      </c>
      <c r="F238" s="477">
        <v>225000</v>
      </c>
      <c r="G238" s="548">
        <v>225000</v>
      </c>
      <c r="H238" s="209">
        <f t="shared" si="85"/>
        <v>1</v>
      </c>
      <c r="I238" s="252">
        <v>29000</v>
      </c>
      <c r="J238" s="211">
        <f t="shared" ref="J238" si="107">SUM(G238,I238)</f>
        <v>254000</v>
      </c>
      <c r="K238" s="212">
        <f t="shared" si="84"/>
        <v>1.1288888888888888</v>
      </c>
      <c r="L238" s="494"/>
    </row>
    <row r="239" spans="1:12" ht="15" customHeight="1" thickBot="1">
      <c r="A239" s="675"/>
      <c r="B239" s="4203" t="s">
        <v>293</v>
      </c>
      <c r="C239" s="4204"/>
      <c r="D239" s="255"/>
      <c r="E239" s="256">
        <v>0</v>
      </c>
      <c r="F239" s="256">
        <v>0</v>
      </c>
      <c r="G239" s="257">
        <v>0</v>
      </c>
      <c r="H239" s="567"/>
      <c r="I239" s="256">
        <v>0</v>
      </c>
      <c r="J239" s="601">
        <v>0</v>
      </c>
      <c r="K239" s="450"/>
      <c r="L239" s="279"/>
    </row>
    <row r="240" spans="1:12" ht="15" customHeight="1" thickBot="1">
      <c r="A240" s="675"/>
      <c r="B240" s="597">
        <v>75095</v>
      </c>
      <c r="C240" s="191" t="s">
        <v>312</v>
      </c>
      <c r="D240" s="754"/>
      <c r="E240" s="236">
        <f t="shared" ref="E240:G240" si="108">SUM(E241,E263)</f>
        <v>9078404</v>
      </c>
      <c r="F240" s="236">
        <f t="shared" si="108"/>
        <v>9539851</v>
      </c>
      <c r="G240" s="237">
        <f t="shared" si="108"/>
        <v>6329021</v>
      </c>
      <c r="H240" s="555">
        <f t="shared" si="85"/>
        <v>0.69715128341942045</v>
      </c>
      <c r="I240" s="236">
        <f t="shared" ref="I240:J240" si="109">SUM(I241,I263)</f>
        <v>0</v>
      </c>
      <c r="J240" s="237">
        <f t="shared" si="109"/>
        <v>6329021</v>
      </c>
      <c r="K240" s="238">
        <f t="shared" si="84"/>
        <v>0.6634297537770768</v>
      </c>
      <c r="L240" s="290"/>
    </row>
    <row r="241" spans="1:14" ht="15" customHeight="1">
      <c r="A241" s="675"/>
      <c r="B241" s="4201" t="s">
        <v>288</v>
      </c>
      <c r="C241" s="4205"/>
      <c r="D241" s="755"/>
      <c r="E241" s="240">
        <f>SUM(E243:E260)</f>
        <v>4128819</v>
      </c>
      <c r="F241" s="240">
        <f>SUM(F243:F260)</f>
        <v>4459955</v>
      </c>
      <c r="G241" s="241">
        <f>SUM(G243:G260)</f>
        <v>5443709</v>
      </c>
      <c r="H241" s="559">
        <f t="shared" si="85"/>
        <v>1.3184663701654153</v>
      </c>
      <c r="I241" s="240">
        <f>SUM(I243:I260)</f>
        <v>0</v>
      </c>
      <c r="J241" s="241">
        <f>SUM(J243:J260)</f>
        <v>5443709</v>
      </c>
      <c r="K241" s="203">
        <f t="shared" si="84"/>
        <v>1.2205748712711226</v>
      </c>
      <c r="L241" s="204"/>
    </row>
    <row r="242" spans="1:14" ht="64.5" hidden="1" customHeight="1">
      <c r="A242" s="675"/>
      <c r="B242" s="431"/>
      <c r="C242" s="756" t="s">
        <v>457</v>
      </c>
      <c r="D242" s="757" t="s">
        <v>417</v>
      </c>
      <c r="E242" s="206">
        <v>0</v>
      </c>
      <c r="F242" s="230"/>
      <c r="G242" s="231"/>
      <c r="H242" s="209" t="e">
        <f t="shared" si="85"/>
        <v>#DIV/0!</v>
      </c>
      <c r="I242" s="252"/>
      <c r="J242" s="211"/>
      <c r="K242" s="212" t="e">
        <f t="shared" si="84"/>
        <v>#DIV/0!</v>
      </c>
      <c r="L242" s="247"/>
    </row>
    <row r="243" spans="1:14" ht="78.75" customHeight="1">
      <c r="A243" s="675"/>
      <c r="B243" s="434"/>
      <c r="C243" s="758" t="s">
        <v>458</v>
      </c>
      <c r="D243" s="4206" t="s">
        <v>459</v>
      </c>
      <c r="E243" s="206">
        <v>662641</v>
      </c>
      <c r="F243" s="207">
        <v>359164</v>
      </c>
      <c r="G243" s="208">
        <v>2775080</v>
      </c>
      <c r="H243" s="209">
        <f t="shared" si="85"/>
        <v>4.1879086866040582</v>
      </c>
      <c r="I243" s="252">
        <v>0</v>
      </c>
      <c r="J243" s="211">
        <f t="shared" ref="J243:J260" si="110">SUM(G243,I243)</f>
        <v>2775080</v>
      </c>
      <c r="K243" s="212">
        <f t="shared" si="84"/>
        <v>7.7264982013787575</v>
      </c>
      <c r="L243" s="253"/>
      <c r="M243" s="404"/>
    </row>
    <row r="244" spans="1:14" ht="63.75" hidden="1">
      <c r="A244" s="675"/>
      <c r="B244" s="434"/>
      <c r="C244" s="758" t="s">
        <v>460</v>
      </c>
      <c r="D244" s="4207"/>
      <c r="E244" s="206">
        <v>136767</v>
      </c>
      <c r="F244" s="207">
        <v>0</v>
      </c>
      <c r="G244" s="208">
        <v>0</v>
      </c>
      <c r="H244" s="209">
        <f t="shared" si="85"/>
        <v>0</v>
      </c>
      <c r="I244" s="252">
        <v>0</v>
      </c>
      <c r="J244" s="211">
        <f t="shared" si="110"/>
        <v>0</v>
      </c>
      <c r="K244" s="212"/>
      <c r="L244" s="253"/>
    </row>
    <row r="245" spans="1:14" ht="49.5" customHeight="1">
      <c r="A245" s="675"/>
      <c r="B245" s="434"/>
      <c r="C245" s="580" t="s">
        <v>461</v>
      </c>
      <c r="D245" s="4188">
        <v>2008</v>
      </c>
      <c r="E245" s="206">
        <v>1402500</v>
      </c>
      <c r="F245" s="207">
        <v>1402500</v>
      </c>
      <c r="G245" s="208">
        <v>620500</v>
      </c>
      <c r="H245" s="209">
        <f t="shared" si="85"/>
        <v>0.44242424242424244</v>
      </c>
      <c r="I245" s="252">
        <v>0</v>
      </c>
      <c r="J245" s="211">
        <f t="shared" si="110"/>
        <v>620500</v>
      </c>
      <c r="K245" s="212">
        <f t="shared" si="84"/>
        <v>0.44242424242424244</v>
      </c>
      <c r="L245" s="437"/>
    </row>
    <row r="246" spans="1:14" ht="61.5" customHeight="1">
      <c r="A246" s="675"/>
      <c r="B246" s="434"/>
      <c r="C246" s="759" t="s">
        <v>462</v>
      </c>
      <c r="D246" s="4196"/>
      <c r="E246" s="206">
        <v>320656</v>
      </c>
      <c r="F246" s="207">
        <v>323536</v>
      </c>
      <c r="G246" s="208">
        <v>0</v>
      </c>
      <c r="H246" s="209">
        <f t="shared" si="85"/>
        <v>0</v>
      </c>
      <c r="I246" s="252">
        <v>0</v>
      </c>
      <c r="J246" s="211">
        <f t="shared" si="110"/>
        <v>0</v>
      </c>
      <c r="K246" s="212">
        <f t="shared" si="84"/>
        <v>0</v>
      </c>
      <c r="L246" s="441"/>
    </row>
    <row r="247" spans="1:14" ht="78.75" customHeight="1">
      <c r="A247" s="675"/>
      <c r="B247" s="434"/>
      <c r="C247" s="760" t="s">
        <v>463</v>
      </c>
      <c r="D247" s="4189"/>
      <c r="E247" s="401">
        <v>28687</v>
      </c>
      <c r="F247" s="408">
        <v>38297</v>
      </c>
      <c r="G247" s="409">
        <v>0</v>
      </c>
      <c r="H247" s="626">
        <f t="shared" si="85"/>
        <v>0</v>
      </c>
      <c r="I247" s="215">
        <v>0</v>
      </c>
      <c r="J247" s="479">
        <f t="shared" si="110"/>
        <v>0</v>
      </c>
      <c r="K247" s="375">
        <f t="shared" si="84"/>
        <v>0</v>
      </c>
      <c r="L247" s="253"/>
    </row>
    <row r="248" spans="1:14" ht="39.75" customHeight="1">
      <c r="A248" s="675"/>
      <c r="B248" s="434"/>
      <c r="C248" s="761" t="s">
        <v>464</v>
      </c>
      <c r="D248" s="4196">
        <v>2009</v>
      </c>
      <c r="E248" s="401">
        <v>247500</v>
      </c>
      <c r="F248" s="408">
        <v>247500</v>
      </c>
      <c r="G248" s="409">
        <v>109500</v>
      </c>
      <c r="H248" s="626">
        <f t="shared" si="85"/>
        <v>0.44242424242424244</v>
      </c>
      <c r="I248" s="215">
        <v>0</v>
      </c>
      <c r="J248" s="479">
        <f t="shared" si="110"/>
        <v>109500</v>
      </c>
      <c r="K248" s="375">
        <f t="shared" si="84"/>
        <v>0.44242424242424244</v>
      </c>
      <c r="L248" s="253"/>
    </row>
    <row r="249" spans="1:14" ht="77.25" customHeight="1">
      <c r="A249" s="675"/>
      <c r="B249" s="434"/>
      <c r="C249" s="758" t="s">
        <v>465</v>
      </c>
      <c r="D249" s="4196"/>
      <c r="E249" s="206">
        <v>40129</v>
      </c>
      <c r="F249" s="207">
        <v>21751</v>
      </c>
      <c r="G249" s="208">
        <v>168050</v>
      </c>
      <c r="H249" s="209">
        <f t="shared" si="85"/>
        <v>4.1877445239103892</v>
      </c>
      <c r="I249" s="252">
        <v>0</v>
      </c>
      <c r="J249" s="211">
        <f t="shared" si="110"/>
        <v>168050</v>
      </c>
      <c r="K249" s="212">
        <f t="shared" si="84"/>
        <v>7.7260815594685299</v>
      </c>
      <c r="L249" s="253"/>
      <c r="N249" s="404"/>
    </row>
    <row r="250" spans="1:14" ht="51" hidden="1">
      <c r="A250" s="675"/>
      <c r="B250" s="434"/>
      <c r="C250" s="758" t="s">
        <v>466</v>
      </c>
      <c r="D250" s="4196"/>
      <c r="E250" s="206">
        <v>8593</v>
      </c>
      <c r="F250" s="207">
        <v>0</v>
      </c>
      <c r="G250" s="208">
        <v>0</v>
      </c>
      <c r="H250" s="209">
        <f t="shared" si="85"/>
        <v>0</v>
      </c>
      <c r="I250" s="252">
        <v>0</v>
      </c>
      <c r="J250" s="211">
        <f t="shared" si="110"/>
        <v>0</v>
      </c>
      <c r="K250" s="212"/>
      <c r="L250" s="253"/>
    </row>
    <row r="251" spans="1:14" ht="76.5">
      <c r="A251" s="675"/>
      <c r="B251" s="434"/>
      <c r="C251" s="761" t="s">
        <v>467</v>
      </c>
      <c r="D251" s="4196"/>
      <c r="E251" s="401">
        <v>5062</v>
      </c>
      <c r="F251" s="207">
        <v>6759</v>
      </c>
      <c r="G251" s="208">
        <v>0</v>
      </c>
      <c r="H251" s="209">
        <f t="shared" si="85"/>
        <v>0</v>
      </c>
      <c r="I251" s="252">
        <v>0</v>
      </c>
      <c r="J251" s="211">
        <f t="shared" si="110"/>
        <v>0</v>
      </c>
      <c r="K251" s="212">
        <f t="shared" si="84"/>
        <v>0</v>
      </c>
      <c r="L251" s="253"/>
    </row>
    <row r="252" spans="1:14" ht="66" customHeight="1" thickBot="1">
      <c r="A252" s="710"/>
      <c r="B252" s="438"/>
      <c r="C252" s="762" t="s">
        <v>468</v>
      </c>
      <c r="D252" s="4197"/>
      <c r="E252" s="424">
        <v>56586</v>
      </c>
      <c r="F252" s="588">
        <v>57095</v>
      </c>
      <c r="G252" s="589">
        <v>0</v>
      </c>
      <c r="H252" s="355">
        <f t="shared" si="85"/>
        <v>0</v>
      </c>
      <c r="I252" s="591">
        <v>0</v>
      </c>
      <c r="J252" s="357">
        <f t="shared" si="110"/>
        <v>0</v>
      </c>
      <c r="K252" s="358">
        <f t="shared" si="84"/>
        <v>0</v>
      </c>
      <c r="L252" s="763"/>
    </row>
    <row r="253" spans="1:14" ht="75" customHeight="1">
      <c r="A253" s="673"/>
      <c r="B253" s="764"/>
      <c r="C253" s="765" t="s">
        <v>458</v>
      </c>
      <c r="D253" s="4198">
        <v>2057</v>
      </c>
      <c r="E253" s="766">
        <v>700805</v>
      </c>
      <c r="F253" s="667">
        <v>625189</v>
      </c>
      <c r="G253" s="668">
        <v>94369</v>
      </c>
      <c r="H253" s="508">
        <f t="shared" si="85"/>
        <v>0.13465800044234844</v>
      </c>
      <c r="I253" s="509">
        <v>0</v>
      </c>
      <c r="J253" s="510">
        <f t="shared" si="110"/>
        <v>94369</v>
      </c>
      <c r="K253" s="511">
        <f t="shared" si="84"/>
        <v>0.15094475430629778</v>
      </c>
      <c r="L253" s="767"/>
      <c r="N253" s="404"/>
    </row>
    <row r="254" spans="1:14" ht="63.75">
      <c r="A254" s="675"/>
      <c r="B254" s="434"/>
      <c r="C254" s="768" t="s">
        <v>460</v>
      </c>
      <c r="D254" s="4196"/>
      <c r="E254" s="251">
        <v>357084</v>
      </c>
      <c r="F254" s="581">
        <v>114358</v>
      </c>
      <c r="G254" s="306">
        <v>114358</v>
      </c>
      <c r="H254" s="209">
        <f t="shared" si="85"/>
        <v>0.32025517805334319</v>
      </c>
      <c r="I254" s="426">
        <v>0</v>
      </c>
      <c r="J254" s="211">
        <f t="shared" si="110"/>
        <v>114358</v>
      </c>
      <c r="K254" s="212">
        <f t="shared" si="84"/>
        <v>1</v>
      </c>
      <c r="L254" s="427"/>
    </row>
    <row r="255" spans="1:14" ht="74.25" customHeight="1">
      <c r="A255" s="675"/>
      <c r="B255" s="434"/>
      <c r="C255" s="769" t="s">
        <v>469</v>
      </c>
      <c r="D255" s="4188">
        <v>2058</v>
      </c>
      <c r="E255" s="206">
        <v>0</v>
      </c>
      <c r="F255" s="207">
        <v>1073742</v>
      </c>
      <c r="G255" s="208">
        <v>1400928</v>
      </c>
      <c r="H255" s="209"/>
      <c r="I255" s="252">
        <v>0</v>
      </c>
      <c r="J255" s="211">
        <f t="shared" si="110"/>
        <v>1400928</v>
      </c>
      <c r="K255" s="212">
        <f t="shared" si="84"/>
        <v>1.3047156579513515</v>
      </c>
      <c r="L255" s="253"/>
    </row>
    <row r="256" spans="1:14" ht="66.75" customHeight="1">
      <c r="A256" s="675"/>
      <c r="B256" s="434"/>
      <c r="C256" s="770" t="s">
        <v>470</v>
      </c>
      <c r="D256" s="4189"/>
      <c r="E256" s="206">
        <v>78446</v>
      </c>
      <c r="F256" s="207">
        <v>78446</v>
      </c>
      <c r="G256" s="208">
        <v>129445</v>
      </c>
      <c r="H256" s="209">
        <f t="shared" si="85"/>
        <v>1.6501160033653723</v>
      </c>
      <c r="I256" s="252">
        <v>0</v>
      </c>
      <c r="J256" s="211">
        <f t="shared" si="110"/>
        <v>129445</v>
      </c>
      <c r="K256" s="212">
        <f t="shared" si="84"/>
        <v>1.6501160033653723</v>
      </c>
      <c r="L256" s="253"/>
    </row>
    <row r="257" spans="1:12" ht="76.5" customHeight="1">
      <c r="A257" s="675"/>
      <c r="B257" s="434"/>
      <c r="C257" s="761" t="s">
        <v>471</v>
      </c>
      <c r="D257" s="4196">
        <v>2059</v>
      </c>
      <c r="E257" s="206">
        <v>42439</v>
      </c>
      <c r="F257" s="207">
        <v>37857</v>
      </c>
      <c r="G257" s="208">
        <v>5718</v>
      </c>
      <c r="H257" s="209">
        <f t="shared" si="85"/>
        <v>0.13473456019227598</v>
      </c>
      <c r="I257" s="252">
        <v>0</v>
      </c>
      <c r="J257" s="211">
        <f t="shared" si="110"/>
        <v>5718</v>
      </c>
      <c r="K257" s="212">
        <f t="shared" si="84"/>
        <v>0.15104207940407322</v>
      </c>
      <c r="L257" s="253"/>
    </row>
    <row r="258" spans="1:12" ht="52.5" customHeight="1">
      <c r="A258" s="675"/>
      <c r="B258" s="434"/>
      <c r="C258" s="771" t="s">
        <v>466</v>
      </c>
      <c r="D258" s="4196"/>
      <c r="E258" s="206">
        <v>24924</v>
      </c>
      <c r="F258" s="207">
        <v>7761</v>
      </c>
      <c r="G258" s="208">
        <v>7761</v>
      </c>
      <c r="H258" s="209">
        <f t="shared" si="85"/>
        <v>0.31138661531054407</v>
      </c>
      <c r="I258" s="252">
        <v>0</v>
      </c>
      <c r="J258" s="211">
        <f t="shared" si="110"/>
        <v>7761</v>
      </c>
      <c r="K258" s="212">
        <f t="shared" si="84"/>
        <v>1</v>
      </c>
      <c r="L258" s="253"/>
    </row>
    <row r="259" spans="1:12" ht="66" customHeight="1">
      <c r="A259" s="675"/>
      <c r="B259" s="434"/>
      <c r="C259" s="771" t="s">
        <v>472</v>
      </c>
      <c r="D259" s="4189"/>
      <c r="E259" s="206">
        <v>16000</v>
      </c>
      <c r="F259" s="207">
        <v>16000</v>
      </c>
      <c r="G259" s="208">
        <v>18000</v>
      </c>
      <c r="H259" s="209">
        <f t="shared" si="85"/>
        <v>1.125</v>
      </c>
      <c r="I259" s="252">
        <v>0</v>
      </c>
      <c r="J259" s="211">
        <f t="shared" si="110"/>
        <v>18000</v>
      </c>
      <c r="K259" s="212">
        <f t="shared" si="84"/>
        <v>1.125</v>
      </c>
      <c r="L259" s="300"/>
    </row>
    <row r="260" spans="1:12" ht="37.5" customHeight="1">
      <c r="A260" s="675"/>
      <c r="B260" s="772"/>
      <c r="C260" s="773" t="s">
        <v>473</v>
      </c>
      <c r="D260" s="250">
        <v>2710</v>
      </c>
      <c r="E260" s="401">
        <v>0</v>
      </c>
      <c r="F260" s="207">
        <v>50000</v>
      </c>
      <c r="G260" s="208">
        <v>0</v>
      </c>
      <c r="H260" s="209"/>
      <c r="I260" s="252">
        <v>0</v>
      </c>
      <c r="J260" s="211">
        <f t="shared" si="110"/>
        <v>0</v>
      </c>
      <c r="K260" s="212">
        <f t="shared" si="84"/>
        <v>0</v>
      </c>
      <c r="L260" s="247"/>
    </row>
    <row r="261" spans="1:12" ht="1.5" hidden="1" customHeight="1">
      <c r="A261" s="675"/>
      <c r="B261" s="772"/>
      <c r="C261" s="770" t="s">
        <v>474</v>
      </c>
      <c r="D261" s="249">
        <v>2918</v>
      </c>
      <c r="E261" s="206">
        <v>0</v>
      </c>
      <c r="F261" s="230"/>
      <c r="G261" s="231"/>
      <c r="H261" s="209" t="e">
        <f t="shared" si="85"/>
        <v>#DIV/0!</v>
      </c>
      <c r="I261" s="252"/>
      <c r="J261" s="211"/>
      <c r="K261" s="212" t="e">
        <f t="shared" si="84"/>
        <v>#DIV/0!</v>
      </c>
      <c r="L261" s="247"/>
    </row>
    <row r="262" spans="1:12" ht="9" hidden="1" customHeight="1">
      <c r="A262" s="675"/>
      <c r="B262" s="774"/>
      <c r="C262" s="773" t="s">
        <v>474</v>
      </c>
      <c r="D262" s="250">
        <v>2919</v>
      </c>
      <c r="E262" s="206">
        <v>0</v>
      </c>
      <c r="F262" s="230"/>
      <c r="G262" s="231"/>
      <c r="H262" s="209" t="e">
        <f t="shared" si="85"/>
        <v>#DIV/0!</v>
      </c>
      <c r="I262" s="252"/>
      <c r="J262" s="211"/>
      <c r="K262" s="212" t="e">
        <f t="shared" si="84"/>
        <v>#DIV/0!</v>
      </c>
      <c r="L262" s="247"/>
    </row>
    <row r="263" spans="1:12" s="156" customFormat="1">
      <c r="A263" s="675"/>
      <c r="B263" s="4199" t="s">
        <v>334</v>
      </c>
      <c r="C263" s="4200"/>
      <c r="D263" s="324"/>
      <c r="E263" s="219">
        <f>SUM(E264:E269)</f>
        <v>4949585</v>
      </c>
      <c r="F263" s="219">
        <f>SUM(F264:F269)</f>
        <v>5079896</v>
      </c>
      <c r="G263" s="220">
        <f>SUM(G264:G269)</f>
        <v>885312</v>
      </c>
      <c r="H263" s="418">
        <f t="shared" si="85"/>
        <v>0.17886590491930132</v>
      </c>
      <c r="I263" s="219">
        <f>SUM(I264:I269)</f>
        <v>0</v>
      </c>
      <c r="J263" s="220">
        <f>SUM(J264:J269)</f>
        <v>885312</v>
      </c>
      <c r="K263" s="419">
        <f t="shared" si="84"/>
        <v>0.1742775836355705</v>
      </c>
      <c r="L263" s="225"/>
    </row>
    <row r="264" spans="1:12" s="579" customFormat="1" ht="75" customHeight="1">
      <c r="A264" s="675"/>
      <c r="B264" s="546"/>
      <c r="C264" s="758" t="s">
        <v>458</v>
      </c>
      <c r="D264" s="706">
        <v>6207</v>
      </c>
      <c r="E264" s="206">
        <v>1113013</v>
      </c>
      <c r="F264" s="207">
        <v>333904</v>
      </c>
      <c r="G264" s="208">
        <v>779109</v>
      </c>
      <c r="H264" s="209">
        <f t="shared" si="85"/>
        <v>0.69999991015378971</v>
      </c>
      <c r="I264" s="252">
        <v>0</v>
      </c>
      <c r="J264" s="211">
        <f t="shared" ref="J264:J269" si="111">SUM(G264,I264)</f>
        <v>779109</v>
      </c>
      <c r="K264" s="212">
        <f t="shared" si="84"/>
        <v>2.3333323350424076</v>
      </c>
      <c r="L264" s="253"/>
    </row>
    <row r="265" spans="1:12" ht="78.75" customHeight="1">
      <c r="A265" s="675" t="s">
        <v>475</v>
      </c>
      <c r="B265" s="772"/>
      <c r="C265" s="775" t="s">
        <v>476</v>
      </c>
      <c r="D265" s="776">
        <v>6208</v>
      </c>
      <c r="E265" s="246">
        <v>3132126</v>
      </c>
      <c r="F265" s="611">
        <v>3995406</v>
      </c>
      <c r="G265" s="612">
        <v>0</v>
      </c>
      <c r="H265" s="626">
        <f t="shared" si="85"/>
        <v>0</v>
      </c>
      <c r="I265" s="614">
        <v>0</v>
      </c>
      <c r="J265" s="479">
        <f t="shared" si="111"/>
        <v>0</v>
      </c>
      <c r="K265" s="212">
        <f t="shared" ref="K265:K328" si="112">J265/F265</f>
        <v>0</v>
      </c>
      <c r="L265" s="616"/>
    </row>
    <row r="266" spans="1:12" ht="76.5">
      <c r="A266" s="675"/>
      <c r="B266" s="772"/>
      <c r="C266" s="768" t="s">
        <v>477</v>
      </c>
      <c r="D266" s="4188">
        <v>6209</v>
      </c>
      <c r="E266" s="206">
        <v>552728</v>
      </c>
      <c r="F266" s="207">
        <v>705071</v>
      </c>
      <c r="G266" s="208">
        <v>0</v>
      </c>
      <c r="H266" s="209">
        <f t="shared" si="85"/>
        <v>0</v>
      </c>
      <c r="I266" s="252">
        <v>0</v>
      </c>
      <c r="J266" s="211">
        <f t="shared" si="111"/>
        <v>0</v>
      </c>
      <c r="K266" s="212">
        <f t="shared" si="112"/>
        <v>0</v>
      </c>
      <c r="L266" s="253"/>
    </row>
    <row r="267" spans="1:12" ht="77.25" customHeight="1">
      <c r="A267" s="675"/>
      <c r="B267" s="772"/>
      <c r="C267" s="777" t="s">
        <v>478</v>
      </c>
      <c r="D267" s="4189"/>
      <c r="E267" s="206">
        <v>67402</v>
      </c>
      <c r="F267" s="207">
        <v>20221</v>
      </c>
      <c r="G267" s="208">
        <v>47181</v>
      </c>
      <c r="H267" s="209">
        <f t="shared" si="85"/>
        <v>0.69999406545799825</v>
      </c>
      <c r="I267" s="252">
        <v>0</v>
      </c>
      <c r="J267" s="211">
        <f t="shared" si="111"/>
        <v>47181</v>
      </c>
      <c r="K267" s="212">
        <f t="shared" si="112"/>
        <v>2.3332673952821326</v>
      </c>
      <c r="L267" s="253"/>
    </row>
    <row r="268" spans="1:12" ht="78" customHeight="1">
      <c r="A268" s="675"/>
      <c r="B268" s="772"/>
      <c r="C268" s="761" t="s">
        <v>458</v>
      </c>
      <c r="D268" s="778">
        <v>6257</v>
      </c>
      <c r="E268" s="401">
        <v>79501</v>
      </c>
      <c r="F268" s="408">
        <v>23850</v>
      </c>
      <c r="G268" s="409">
        <v>55651</v>
      </c>
      <c r="H268" s="626">
        <f t="shared" si="85"/>
        <v>0.70000377353743981</v>
      </c>
      <c r="I268" s="215">
        <v>0</v>
      </c>
      <c r="J268" s="479">
        <f t="shared" si="111"/>
        <v>55651</v>
      </c>
      <c r="K268" s="375">
        <f t="shared" si="112"/>
        <v>2.3333752620545072</v>
      </c>
      <c r="L268" s="253"/>
    </row>
    <row r="269" spans="1:12" ht="78.75" customHeight="1" thickBot="1">
      <c r="A269" s="710"/>
      <c r="B269" s="779"/>
      <c r="C269" s="780" t="s">
        <v>478</v>
      </c>
      <c r="D269" s="781">
        <v>6259</v>
      </c>
      <c r="E269" s="414">
        <v>4815</v>
      </c>
      <c r="F269" s="782">
        <v>1444</v>
      </c>
      <c r="G269" s="354">
        <v>3371</v>
      </c>
      <c r="H269" s="355">
        <f t="shared" si="85"/>
        <v>0.70010384215991694</v>
      </c>
      <c r="I269" s="356">
        <v>0</v>
      </c>
      <c r="J269" s="357">
        <f t="shared" si="111"/>
        <v>3371</v>
      </c>
      <c r="K269" s="358">
        <f t="shared" si="112"/>
        <v>2.3344875346260388</v>
      </c>
      <c r="L269" s="583"/>
    </row>
    <row r="270" spans="1:12" ht="39" hidden="1" thickBot="1">
      <c r="A270" s="600"/>
      <c r="B270" s="585"/>
      <c r="C270" s="783" t="s">
        <v>479</v>
      </c>
      <c r="D270" s="784">
        <v>6699</v>
      </c>
      <c r="E270" s="273">
        <v>0</v>
      </c>
      <c r="F270" s="533"/>
      <c r="G270" s="285"/>
      <c r="H270" s="613" t="e">
        <f t="shared" si="85"/>
        <v>#DIV/0!</v>
      </c>
      <c r="I270" s="614"/>
      <c r="J270" s="615"/>
      <c r="K270" s="785" t="e">
        <f t="shared" si="112"/>
        <v>#DIV/0!</v>
      </c>
      <c r="L270" s="288"/>
    </row>
    <row r="271" spans="1:12" ht="15.75" thickBot="1">
      <c r="A271" s="786">
        <v>752</v>
      </c>
      <c r="B271" s="787"/>
      <c r="C271" s="788" t="s">
        <v>480</v>
      </c>
      <c r="D271" s="789"/>
      <c r="E271" s="790">
        <f t="shared" ref="E271:J271" si="113">SUM(E272)</f>
        <v>5000</v>
      </c>
      <c r="F271" s="790">
        <f t="shared" si="113"/>
        <v>5000</v>
      </c>
      <c r="G271" s="791">
        <f t="shared" si="113"/>
        <v>0</v>
      </c>
      <c r="H271" s="574">
        <f t="shared" si="85"/>
        <v>0</v>
      </c>
      <c r="I271" s="790">
        <f t="shared" si="113"/>
        <v>0</v>
      </c>
      <c r="J271" s="791">
        <f t="shared" si="113"/>
        <v>0</v>
      </c>
      <c r="K271" s="187">
        <f t="shared" si="112"/>
        <v>0</v>
      </c>
      <c r="L271" s="792"/>
    </row>
    <row r="272" spans="1:12" ht="15" customHeight="1" thickBot="1">
      <c r="A272" s="793"/>
      <c r="B272" s="794">
        <v>75212</v>
      </c>
      <c r="C272" s="795" t="s">
        <v>481</v>
      </c>
      <c r="D272" s="796"/>
      <c r="E272" s="467">
        <f t="shared" ref="E272:G272" si="114">SUM(E273,E275)</f>
        <v>5000</v>
      </c>
      <c r="F272" s="467">
        <f t="shared" si="114"/>
        <v>5000</v>
      </c>
      <c r="G272" s="468">
        <f t="shared" si="114"/>
        <v>0</v>
      </c>
      <c r="H272" s="555">
        <f t="shared" si="85"/>
        <v>0</v>
      </c>
      <c r="I272" s="467">
        <f t="shared" ref="I272:J272" si="115">SUM(I273,I275)</f>
        <v>0</v>
      </c>
      <c r="J272" s="468">
        <f t="shared" si="115"/>
        <v>0</v>
      </c>
      <c r="K272" s="196">
        <f t="shared" si="112"/>
        <v>0</v>
      </c>
      <c r="L272" s="469"/>
    </row>
    <row r="273" spans="1:12" ht="15" customHeight="1">
      <c r="A273" s="797"/>
      <c r="B273" s="4093" t="s">
        <v>288</v>
      </c>
      <c r="C273" s="4093"/>
      <c r="D273" s="798"/>
      <c r="E273" s="677">
        <f t="shared" ref="E273:J273" si="116">SUM(E274)</f>
        <v>5000</v>
      </c>
      <c r="F273" s="677">
        <f t="shared" si="116"/>
        <v>5000</v>
      </c>
      <c r="G273" s="678">
        <f t="shared" si="116"/>
        <v>0</v>
      </c>
      <c r="H273" s="559">
        <f t="shared" ref="H273:H336" si="117">G273/E273</f>
        <v>0</v>
      </c>
      <c r="I273" s="677">
        <f t="shared" si="116"/>
        <v>0</v>
      </c>
      <c r="J273" s="678">
        <f t="shared" si="116"/>
        <v>0</v>
      </c>
      <c r="K273" s="203">
        <f t="shared" si="112"/>
        <v>0</v>
      </c>
      <c r="L273" s="474"/>
    </row>
    <row r="274" spans="1:12" ht="38.25" customHeight="1">
      <c r="A274" s="797"/>
      <c r="B274" s="799"/>
      <c r="C274" s="752" t="s">
        <v>315</v>
      </c>
      <c r="D274" s="800">
        <v>2210</v>
      </c>
      <c r="E274" s="681">
        <v>5000</v>
      </c>
      <c r="F274" s="477">
        <v>5000</v>
      </c>
      <c r="G274" s="548">
        <v>0</v>
      </c>
      <c r="H274" s="209">
        <f t="shared" si="117"/>
        <v>0</v>
      </c>
      <c r="I274" s="252">
        <v>0</v>
      </c>
      <c r="J274" s="211">
        <f t="shared" ref="J274" si="118">SUM(G274,I274)</f>
        <v>0</v>
      </c>
      <c r="K274" s="212">
        <f t="shared" si="112"/>
        <v>0</v>
      </c>
      <c r="L274" s="494"/>
    </row>
    <row r="275" spans="1:12" ht="14.25" customHeight="1" thickBot="1">
      <c r="A275" s="801"/>
      <c r="B275" s="4058" t="s">
        <v>293</v>
      </c>
      <c r="C275" s="4058"/>
      <c r="D275" s="802"/>
      <c r="E275" s="803">
        <v>0</v>
      </c>
      <c r="F275" s="803">
        <v>0</v>
      </c>
      <c r="G275" s="719">
        <v>0</v>
      </c>
      <c r="H275" s="602"/>
      <c r="I275" s="803">
        <v>0</v>
      </c>
      <c r="J275" s="804">
        <v>0</v>
      </c>
      <c r="K275" s="554"/>
      <c r="L275" s="720"/>
    </row>
    <row r="276" spans="1:12" ht="18.75" customHeight="1" thickBot="1">
      <c r="A276" s="805">
        <v>754</v>
      </c>
      <c r="B276" s="806"/>
      <c r="C276" s="807" t="s">
        <v>482</v>
      </c>
      <c r="D276" s="808"/>
      <c r="E276" s="809">
        <v>0</v>
      </c>
      <c r="F276" s="810">
        <f>SUM(F277)</f>
        <v>1752000</v>
      </c>
      <c r="G276" s="811">
        <f>SUM(G277)</f>
        <v>0</v>
      </c>
      <c r="H276" s="574"/>
      <c r="I276" s="809">
        <v>0</v>
      </c>
      <c r="J276" s="811">
        <f>SUM(J277)</f>
        <v>0</v>
      </c>
      <c r="K276" s="187">
        <f t="shared" si="112"/>
        <v>0</v>
      </c>
      <c r="L276" s="812"/>
    </row>
    <row r="277" spans="1:12" ht="15.75" thickBot="1">
      <c r="A277" s="813"/>
      <c r="B277" s="814">
        <v>75421</v>
      </c>
      <c r="C277" s="815" t="s">
        <v>483</v>
      </c>
      <c r="D277" s="816"/>
      <c r="E277" s="817">
        <v>0</v>
      </c>
      <c r="F277" s="817">
        <f>SUM(F281,F278)</f>
        <v>1752000</v>
      </c>
      <c r="G277" s="818">
        <f>SUM(G281,G278)</f>
        <v>0</v>
      </c>
      <c r="H277" s="555"/>
      <c r="I277" s="817">
        <v>0</v>
      </c>
      <c r="J277" s="818">
        <f>SUM(J281,J278)</f>
        <v>0</v>
      </c>
      <c r="K277" s="196">
        <f t="shared" si="112"/>
        <v>0</v>
      </c>
      <c r="L277" s="469"/>
    </row>
    <row r="278" spans="1:12">
      <c r="A278" s="819"/>
      <c r="B278" s="4190" t="s">
        <v>288</v>
      </c>
      <c r="C278" s="4191"/>
      <c r="D278" s="820"/>
      <c r="E278" s="821">
        <v>0</v>
      </c>
      <c r="F278" s="821">
        <f>SUM(F279:F280)</f>
        <v>1752000</v>
      </c>
      <c r="G278" s="822">
        <f>SUM(G279:G280)</f>
        <v>0</v>
      </c>
      <c r="H278" s="559"/>
      <c r="I278" s="821">
        <v>0</v>
      </c>
      <c r="J278" s="822">
        <f>SUM(J279:J280)</f>
        <v>0</v>
      </c>
      <c r="K278" s="203">
        <f t="shared" si="112"/>
        <v>0</v>
      </c>
      <c r="L278" s="474"/>
    </row>
    <row r="279" spans="1:12" ht="38.25">
      <c r="A279" s="823"/>
      <c r="B279" s="4192"/>
      <c r="C279" s="824" t="s">
        <v>484</v>
      </c>
      <c r="D279" s="825">
        <v>2220</v>
      </c>
      <c r="E279" s="681">
        <v>0</v>
      </c>
      <c r="F279" s="477">
        <v>1746000</v>
      </c>
      <c r="G279" s="548">
        <v>0</v>
      </c>
      <c r="H279" s="209"/>
      <c r="I279" s="252">
        <v>0</v>
      </c>
      <c r="J279" s="211">
        <f t="shared" ref="J279:J280" si="119">SUM(G279,I279)</f>
        <v>0</v>
      </c>
      <c r="K279" s="212">
        <f t="shared" si="112"/>
        <v>0</v>
      </c>
      <c r="L279" s="253"/>
    </row>
    <row r="280" spans="1:12" ht="38.25">
      <c r="A280" s="823"/>
      <c r="B280" s="4193"/>
      <c r="C280" s="826" t="s">
        <v>485</v>
      </c>
      <c r="D280" s="800">
        <v>2310</v>
      </c>
      <c r="E280" s="681">
        <v>0</v>
      </c>
      <c r="F280" s="477">
        <v>6000</v>
      </c>
      <c r="G280" s="548">
        <v>0</v>
      </c>
      <c r="H280" s="209"/>
      <c r="I280" s="252">
        <v>0</v>
      </c>
      <c r="J280" s="211">
        <f t="shared" si="119"/>
        <v>0</v>
      </c>
      <c r="K280" s="212">
        <f t="shared" si="112"/>
        <v>0</v>
      </c>
      <c r="L280" s="253"/>
    </row>
    <row r="281" spans="1:12" ht="15.75" thickBot="1">
      <c r="A281" s="827"/>
      <c r="B281" s="4194" t="s">
        <v>293</v>
      </c>
      <c r="C281" s="4195"/>
      <c r="D281" s="802"/>
      <c r="E281" s="828">
        <v>0</v>
      </c>
      <c r="F281" s="828">
        <v>0</v>
      </c>
      <c r="G281" s="719">
        <v>0</v>
      </c>
      <c r="H281" s="602"/>
      <c r="I281" s="828">
        <v>0</v>
      </c>
      <c r="J281" s="829">
        <v>0</v>
      </c>
      <c r="K281" s="450"/>
      <c r="L281" s="720"/>
    </row>
    <row r="282" spans="1:12" ht="38.25" customHeight="1" thickBot="1">
      <c r="A282" s="391">
        <v>756</v>
      </c>
      <c r="B282" s="830"/>
      <c r="C282" s="831" t="s">
        <v>486</v>
      </c>
      <c r="D282" s="183"/>
      <c r="E282" s="321">
        <f>SUM(E283,E289)</f>
        <v>366051292</v>
      </c>
      <c r="F282" s="321">
        <f>SUM(F283,F289)</f>
        <v>366051292</v>
      </c>
      <c r="G282" s="322">
        <f>SUM(G283,G289)</f>
        <v>390183253</v>
      </c>
      <c r="H282" s="574">
        <f t="shared" si="117"/>
        <v>1.0659250807944149</v>
      </c>
      <c r="I282" s="321">
        <f>SUM(I283,I289)</f>
        <v>83815495</v>
      </c>
      <c r="J282" s="322">
        <f>SUM(J283,J289)</f>
        <v>473998748</v>
      </c>
      <c r="K282" s="187">
        <f t="shared" si="112"/>
        <v>1.2948970768828758</v>
      </c>
      <c r="L282" s="832"/>
    </row>
    <row r="283" spans="1:12" ht="29.25" customHeight="1" thickBot="1">
      <c r="A283" s="4172"/>
      <c r="B283" s="464">
        <v>75618</v>
      </c>
      <c r="C283" s="465" t="s">
        <v>487</v>
      </c>
      <c r="D283" s="466"/>
      <c r="E283" s="467">
        <f>SUM(E284,E288)</f>
        <v>5684852</v>
      </c>
      <c r="F283" s="467">
        <f>SUM(F284,F288)</f>
        <v>5684852</v>
      </c>
      <c r="G283" s="468">
        <f>SUM(G284,G288)</f>
        <v>5473123</v>
      </c>
      <c r="H283" s="555">
        <f t="shared" si="117"/>
        <v>0.96275558273108952</v>
      </c>
      <c r="I283" s="467">
        <f>SUM(I284,I288)</f>
        <v>0</v>
      </c>
      <c r="J283" s="468">
        <f>SUM(J284,J288)</f>
        <v>5473123</v>
      </c>
      <c r="K283" s="196">
        <f t="shared" si="112"/>
        <v>0.96275558273108952</v>
      </c>
      <c r="L283" s="469"/>
    </row>
    <row r="284" spans="1:12">
      <c r="A284" s="4173"/>
      <c r="B284" s="4175" t="s">
        <v>288</v>
      </c>
      <c r="C284" s="4176"/>
      <c r="D284" s="833"/>
      <c r="E284" s="677">
        <f>SUM(E285:E287)</f>
        <v>5684852</v>
      </c>
      <c r="F284" s="677">
        <f>SUM(F285:F287)</f>
        <v>5684852</v>
      </c>
      <c r="G284" s="678">
        <f>SUM(G285:G287)</f>
        <v>5473123</v>
      </c>
      <c r="H284" s="559">
        <f t="shared" si="117"/>
        <v>0.96275558273108952</v>
      </c>
      <c r="I284" s="677">
        <f>SUM(I285:I287)</f>
        <v>0</v>
      </c>
      <c r="J284" s="678">
        <f>SUM(J285:J287)</f>
        <v>5473123</v>
      </c>
      <c r="K284" s="203">
        <f t="shared" si="112"/>
        <v>0.96275558273108952</v>
      </c>
      <c r="L284" s="474"/>
    </row>
    <row r="285" spans="1:12" ht="28.5" customHeight="1">
      <c r="A285" s="4173"/>
      <c r="B285" s="4177"/>
      <c r="C285" s="834" t="s">
        <v>488</v>
      </c>
      <c r="D285" s="480" t="s">
        <v>489</v>
      </c>
      <c r="E285" s="681">
        <v>4942352</v>
      </c>
      <c r="F285" s="477">
        <v>4942352</v>
      </c>
      <c r="G285" s="548">
        <v>4896923</v>
      </c>
      <c r="H285" s="209">
        <f t="shared" si="117"/>
        <v>0.99080822248192768</v>
      </c>
      <c r="I285" s="252">
        <v>0</v>
      </c>
      <c r="J285" s="211">
        <f t="shared" ref="J285:J287" si="120">SUM(G285,I285)</f>
        <v>4896923</v>
      </c>
      <c r="K285" s="212">
        <f t="shared" si="112"/>
        <v>0.99080822248192768</v>
      </c>
      <c r="L285" s="494"/>
    </row>
    <row r="286" spans="1:12" ht="25.5">
      <c r="A286" s="4173"/>
      <c r="B286" s="4178"/>
      <c r="C286" s="835" t="s">
        <v>490</v>
      </c>
      <c r="D286" s="481" t="s">
        <v>491</v>
      </c>
      <c r="E286" s="681">
        <v>722500</v>
      </c>
      <c r="F286" s="477">
        <v>722500</v>
      </c>
      <c r="G286" s="548">
        <v>551200</v>
      </c>
      <c r="H286" s="209">
        <f t="shared" si="117"/>
        <v>0.76290657439446363</v>
      </c>
      <c r="I286" s="252">
        <v>0</v>
      </c>
      <c r="J286" s="211">
        <f t="shared" si="120"/>
        <v>551200</v>
      </c>
      <c r="K286" s="212">
        <f t="shared" si="112"/>
        <v>0.76290657439446363</v>
      </c>
      <c r="L286" s="494"/>
    </row>
    <row r="287" spans="1:12" ht="25.5">
      <c r="A287" s="4173"/>
      <c r="B287" s="4179"/>
      <c r="C287" s="836" t="s">
        <v>492</v>
      </c>
      <c r="D287" s="481" t="s">
        <v>292</v>
      </c>
      <c r="E287" s="681">
        <v>20000</v>
      </c>
      <c r="F287" s="477">
        <v>20000</v>
      </c>
      <c r="G287" s="548">
        <v>25000</v>
      </c>
      <c r="H287" s="209">
        <f t="shared" si="117"/>
        <v>1.25</v>
      </c>
      <c r="I287" s="252">
        <v>0</v>
      </c>
      <c r="J287" s="211">
        <f t="shared" si="120"/>
        <v>25000</v>
      </c>
      <c r="K287" s="212">
        <f t="shared" si="112"/>
        <v>1.25</v>
      </c>
      <c r="L287" s="494"/>
    </row>
    <row r="288" spans="1:12" s="579" customFormat="1" ht="15.75" thickBot="1">
      <c r="A288" s="4173"/>
      <c r="B288" s="4180" t="s">
        <v>293</v>
      </c>
      <c r="C288" s="4181"/>
      <c r="D288" s="837"/>
      <c r="E288" s="838">
        <v>0</v>
      </c>
      <c r="F288" s="838">
        <v>0</v>
      </c>
      <c r="G288" s="686">
        <v>0</v>
      </c>
      <c r="H288" s="567"/>
      <c r="I288" s="568">
        <v>0</v>
      </c>
      <c r="J288" s="449">
        <v>0</v>
      </c>
      <c r="K288" s="450"/>
      <c r="L288" s="688"/>
    </row>
    <row r="289" spans="1:12" ht="26.25" thickBot="1">
      <c r="A289" s="4173"/>
      <c r="B289" s="746">
        <v>75623</v>
      </c>
      <c r="C289" s="839" t="s">
        <v>493</v>
      </c>
      <c r="D289" s="840"/>
      <c r="E289" s="841">
        <f t="shared" ref="E289:J289" si="121">SUM(E290,E293)</f>
        <v>360366440</v>
      </c>
      <c r="F289" s="841">
        <f t="shared" si="121"/>
        <v>360366440</v>
      </c>
      <c r="G289" s="841">
        <f t="shared" si="121"/>
        <v>384710130</v>
      </c>
      <c r="H289" s="555">
        <f t="shared" si="117"/>
        <v>1.0675526000700841</v>
      </c>
      <c r="I289" s="841">
        <f t="shared" si="121"/>
        <v>83815495</v>
      </c>
      <c r="J289" s="842">
        <f t="shared" si="121"/>
        <v>468525625</v>
      </c>
      <c r="K289" s="238">
        <f t="shared" si="112"/>
        <v>1.3001366747691601</v>
      </c>
      <c r="L289" s="469"/>
    </row>
    <row r="290" spans="1:12">
      <c r="A290" s="4173"/>
      <c r="B290" s="4182" t="s">
        <v>288</v>
      </c>
      <c r="C290" s="4183"/>
      <c r="D290" s="843"/>
      <c r="E290" s="677">
        <f t="shared" ref="E290:F290" si="122">SUM(E291:E292)</f>
        <v>360366440</v>
      </c>
      <c r="F290" s="677">
        <f t="shared" si="122"/>
        <v>360366440</v>
      </c>
      <c r="G290" s="678">
        <f t="shared" ref="G290" si="123">SUM(G291:G292)</f>
        <v>384710130</v>
      </c>
      <c r="H290" s="559">
        <f t="shared" si="117"/>
        <v>1.0675526000700841</v>
      </c>
      <c r="I290" s="264">
        <f>SUM(I291:I292)</f>
        <v>83815495</v>
      </c>
      <c r="J290" s="241">
        <f>SUM(J291:J292)</f>
        <v>468525625</v>
      </c>
      <c r="K290" s="203">
        <f t="shared" si="112"/>
        <v>1.3001366747691601</v>
      </c>
      <c r="L290" s="474"/>
    </row>
    <row r="291" spans="1:12" ht="27" customHeight="1">
      <c r="A291" s="4173"/>
      <c r="B291" s="4184"/>
      <c r="C291" s="835" t="s">
        <v>494</v>
      </c>
      <c r="D291" s="481" t="s">
        <v>495</v>
      </c>
      <c r="E291" s="681">
        <v>63633885</v>
      </c>
      <c r="F291" s="477">
        <v>63633885</v>
      </c>
      <c r="G291" s="208">
        <v>67770088</v>
      </c>
      <c r="H291" s="209">
        <f t="shared" si="117"/>
        <v>1.0650000074645765</v>
      </c>
      <c r="I291" s="252">
        <v>-6891104</v>
      </c>
      <c r="J291" s="479">
        <f>SUM(G291,I291)</f>
        <v>60878984</v>
      </c>
      <c r="K291" s="212">
        <f t="shared" si="112"/>
        <v>0.95670701230955801</v>
      </c>
      <c r="L291" s="300"/>
    </row>
    <row r="292" spans="1:12" ht="24" customHeight="1">
      <c r="A292" s="4173"/>
      <c r="B292" s="4185"/>
      <c r="C292" s="835" t="s">
        <v>496</v>
      </c>
      <c r="D292" s="481" t="s">
        <v>497</v>
      </c>
      <c r="E292" s="681">
        <v>296732555</v>
      </c>
      <c r="F292" s="477">
        <v>296732555</v>
      </c>
      <c r="G292" s="208">
        <v>316940042</v>
      </c>
      <c r="H292" s="209">
        <f t="shared" si="117"/>
        <v>1.0681000000151653</v>
      </c>
      <c r="I292" s="252">
        <v>90706599</v>
      </c>
      <c r="J292" s="211">
        <f>SUM(G292,I292)</f>
        <v>407646641</v>
      </c>
      <c r="K292" s="212">
        <f t="shared" si="112"/>
        <v>1.3737846897183223</v>
      </c>
      <c r="L292" s="300"/>
    </row>
    <row r="293" spans="1:12" ht="16.5" customHeight="1" thickBot="1">
      <c r="A293" s="4174"/>
      <c r="B293" s="4186" t="s">
        <v>293</v>
      </c>
      <c r="C293" s="4187"/>
      <c r="D293" s="684"/>
      <c r="E293" s="803">
        <v>0</v>
      </c>
      <c r="F293" s="803">
        <v>0</v>
      </c>
      <c r="G293" s="686">
        <v>0</v>
      </c>
      <c r="H293" s="567"/>
      <c r="I293" s="568">
        <v>0</v>
      </c>
      <c r="J293" s="449">
        <v>0</v>
      </c>
      <c r="K293" s="450"/>
      <c r="L293" s="688"/>
    </row>
    <row r="294" spans="1:12" s="156" customFormat="1" ht="20.25" customHeight="1" thickBot="1">
      <c r="A294" s="844">
        <v>758</v>
      </c>
      <c r="B294" s="845"/>
      <c r="C294" s="846" t="s">
        <v>498</v>
      </c>
      <c r="D294" s="847"/>
      <c r="E294" s="184">
        <f>SUM(E295,E299,E305,E309,E318,E322,E326,E341,E353)</f>
        <v>699921307</v>
      </c>
      <c r="F294" s="184">
        <f t="shared" ref="F294:J294" si="124">SUM(F295,F299,F305,F309,F318,F322,F326,F341,F353)</f>
        <v>723586930</v>
      </c>
      <c r="G294" s="184">
        <f t="shared" si="124"/>
        <v>747429032</v>
      </c>
      <c r="H294" s="574">
        <f t="shared" si="117"/>
        <v>1.067875809072919</v>
      </c>
      <c r="I294" s="184">
        <f t="shared" si="124"/>
        <v>245316791</v>
      </c>
      <c r="J294" s="185">
        <f t="shared" si="124"/>
        <v>992745823</v>
      </c>
      <c r="K294" s="187">
        <f t="shared" si="112"/>
        <v>1.3719786550041748</v>
      </c>
      <c r="L294" s="323"/>
    </row>
    <row r="295" spans="1:12" ht="30" customHeight="1" thickBot="1">
      <c r="A295" s="848"/>
      <c r="B295" s="794">
        <v>75801</v>
      </c>
      <c r="C295" s="795" t="s">
        <v>499</v>
      </c>
      <c r="D295" s="849"/>
      <c r="E295" s="467">
        <f t="shared" ref="E295:G295" si="125">SUM(E296,E298)</f>
        <v>33847979</v>
      </c>
      <c r="F295" s="467">
        <f t="shared" si="125"/>
        <v>34662120</v>
      </c>
      <c r="G295" s="315">
        <f t="shared" si="125"/>
        <v>33847979</v>
      </c>
      <c r="H295" s="555">
        <f t="shared" si="117"/>
        <v>1</v>
      </c>
      <c r="I295" s="315">
        <f t="shared" ref="I295:J295" si="126">SUM(I296,I298)</f>
        <v>3096508</v>
      </c>
      <c r="J295" s="315">
        <f t="shared" si="126"/>
        <v>36944487</v>
      </c>
      <c r="K295" s="238">
        <f t="shared" si="112"/>
        <v>1.0658461455906332</v>
      </c>
      <c r="L295" s="290"/>
    </row>
    <row r="296" spans="1:12" ht="16.5" customHeight="1">
      <c r="A296" s="850"/>
      <c r="B296" s="4093" t="s">
        <v>288</v>
      </c>
      <c r="C296" s="4093"/>
      <c r="D296" s="851"/>
      <c r="E296" s="677">
        <f t="shared" ref="E296:J296" si="127">SUM(E297)</f>
        <v>33847979</v>
      </c>
      <c r="F296" s="677">
        <f t="shared" si="127"/>
        <v>34662120</v>
      </c>
      <c r="G296" s="264">
        <f t="shared" si="127"/>
        <v>33847979</v>
      </c>
      <c r="H296" s="559">
        <f t="shared" si="117"/>
        <v>1</v>
      </c>
      <c r="I296" s="264">
        <f t="shared" si="127"/>
        <v>3096508</v>
      </c>
      <c r="J296" s="241">
        <f t="shared" si="127"/>
        <v>36944487</v>
      </c>
      <c r="K296" s="203">
        <f t="shared" si="112"/>
        <v>1.0658461455906332</v>
      </c>
      <c r="L296" s="294"/>
    </row>
    <row r="297" spans="1:12" ht="24.75" customHeight="1">
      <c r="A297" s="850"/>
      <c r="B297" s="799"/>
      <c r="C297" s="826" t="s">
        <v>500</v>
      </c>
      <c r="D297" s="800">
        <v>2920</v>
      </c>
      <c r="E297" s="681">
        <v>33847979</v>
      </c>
      <c r="F297" s="477">
        <v>34662120</v>
      </c>
      <c r="G297" s="208">
        <v>33847979</v>
      </c>
      <c r="H297" s="209">
        <f t="shared" si="117"/>
        <v>1</v>
      </c>
      <c r="I297" s="252">
        <v>3096508</v>
      </c>
      <c r="J297" s="479">
        <f>SUM(G297,I297)</f>
        <v>36944487</v>
      </c>
      <c r="K297" s="212">
        <f t="shared" si="112"/>
        <v>1.0658461455906332</v>
      </c>
      <c r="L297" s="300"/>
    </row>
    <row r="298" spans="1:12" ht="15.75" thickBot="1">
      <c r="A298" s="850"/>
      <c r="B298" s="4167" t="s">
        <v>293</v>
      </c>
      <c r="C298" s="4167"/>
      <c r="D298" s="852"/>
      <c r="E298" s="838">
        <v>0</v>
      </c>
      <c r="F298" s="838">
        <v>0</v>
      </c>
      <c r="G298" s="319">
        <v>0</v>
      </c>
      <c r="H298" s="567"/>
      <c r="I298" s="568">
        <v>0</v>
      </c>
      <c r="J298" s="449">
        <v>0</v>
      </c>
      <c r="K298" s="450"/>
      <c r="L298" s="573"/>
    </row>
    <row r="299" spans="1:12" ht="26.25" customHeight="1" thickBot="1">
      <c r="A299" s="850"/>
      <c r="B299" s="853">
        <v>75802</v>
      </c>
      <c r="C299" s="854" t="s">
        <v>501</v>
      </c>
      <c r="D299" s="855"/>
      <c r="E299" s="236">
        <f>SUM(E300,E303)</f>
        <v>0</v>
      </c>
      <c r="F299" s="236">
        <f>SUM(F300,F303)</f>
        <v>2500000</v>
      </c>
      <c r="G299" s="236">
        <f>SUM(G300,G303)</f>
        <v>0</v>
      </c>
      <c r="H299" s="856"/>
      <c r="I299" s="236">
        <f>SUM(I300,I303)</f>
        <v>0</v>
      </c>
      <c r="J299" s="237">
        <f>SUM(J300,J303)</f>
        <v>0</v>
      </c>
      <c r="K299" s="238">
        <f t="shared" si="112"/>
        <v>0</v>
      </c>
      <c r="L299" s="197"/>
    </row>
    <row r="300" spans="1:12" ht="15.75" customHeight="1">
      <c r="A300" s="850"/>
      <c r="B300" s="4045" t="s">
        <v>360</v>
      </c>
      <c r="C300" s="4082"/>
      <c r="D300" s="857"/>
      <c r="E300" s="240">
        <v>0</v>
      </c>
      <c r="F300" s="240">
        <v>0</v>
      </c>
      <c r="G300" s="240">
        <f t="shared" ref="G300" si="128">SUM(G301)</f>
        <v>0</v>
      </c>
      <c r="H300" s="559"/>
      <c r="I300" s="240">
        <v>0</v>
      </c>
      <c r="J300" s="241">
        <v>0</v>
      </c>
      <c r="K300" s="203"/>
      <c r="L300" s="858"/>
    </row>
    <row r="301" spans="1:12" ht="39" hidden="1" customHeight="1">
      <c r="A301" s="850"/>
      <c r="B301" s="4168"/>
      <c r="C301" s="859" t="s">
        <v>502</v>
      </c>
      <c r="D301" s="860">
        <v>2770</v>
      </c>
      <c r="E301" s="861">
        <v>0</v>
      </c>
      <c r="F301" s="861">
        <v>0</v>
      </c>
      <c r="G301" s="417"/>
      <c r="H301" s="862"/>
      <c r="I301" s="861">
        <v>0</v>
      </c>
      <c r="J301" s="863">
        <v>0</v>
      </c>
      <c r="K301" s="419" t="e">
        <f t="shared" si="112"/>
        <v>#DIV/0!</v>
      </c>
      <c r="L301" s="864"/>
    </row>
    <row r="302" spans="1:12" ht="39" hidden="1" customHeight="1">
      <c r="A302" s="850"/>
      <c r="B302" s="4169"/>
      <c r="C302" s="865" t="s">
        <v>503</v>
      </c>
      <c r="D302" s="866">
        <v>2920</v>
      </c>
      <c r="E302" s="867">
        <v>0</v>
      </c>
      <c r="F302" s="867">
        <v>0</v>
      </c>
      <c r="G302" s="417"/>
      <c r="H302" s="862"/>
      <c r="I302" s="867">
        <v>0</v>
      </c>
      <c r="J302" s="868">
        <v>0</v>
      </c>
      <c r="K302" s="419" t="e">
        <f t="shared" si="112"/>
        <v>#DIV/0!</v>
      </c>
      <c r="L302" s="864"/>
    </row>
    <row r="303" spans="1:12" ht="15.75" customHeight="1">
      <c r="A303" s="850"/>
      <c r="B303" s="4170" t="s">
        <v>334</v>
      </c>
      <c r="C303" s="4171"/>
      <c r="D303" s="869"/>
      <c r="E303" s="325">
        <f>SUM(E304)</f>
        <v>0</v>
      </c>
      <c r="F303" s="325">
        <f>SUM(F304)</f>
        <v>2500000</v>
      </c>
      <c r="G303" s="325">
        <f>SUM(G304)</f>
        <v>0</v>
      </c>
      <c r="H303" s="559"/>
      <c r="I303" s="325">
        <f>SUM(I304)</f>
        <v>0</v>
      </c>
      <c r="J303" s="326">
        <f>SUM(J304)</f>
        <v>0</v>
      </c>
      <c r="K303" s="419">
        <f t="shared" si="112"/>
        <v>0</v>
      </c>
      <c r="L303" s="864"/>
    </row>
    <row r="304" spans="1:12" ht="45.75" customHeight="1" thickBot="1">
      <c r="A304" s="850"/>
      <c r="B304" s="870"/>
      <c r="C304" s="871" t="s">
        <v>504</v>
      </c>
      <c r="D304" s="872">
        <v>6180</v>
      </c>
      <c r="E304" s="251">
        <v>0</v>
      </c>
      <c r="F304" s="581">
        <v>2500000</v>
      </c>
      <c r="G304" s="306">
        <v>0</v>
      </c>
      <c r="H304" s="873"/>
      <c r="I304" s="426">
        <v>0</v>
      </c>
      <c r="J304" s="479">
        <f>SUM(G304,I304)</f>
        <v>0</v>
      </c>
      <c r="K304" s="234">
        <f t="shared" si="112"/>
        <v>0</v>
      </c>
      <c r="L304" s="235"/>
    </row>
    <row r="305" spans="1:12" ht="15.75" thickBot="1">
      <c r="A305" s="850"/>
      <c r="B305" s="794">
        <v>75804</v>
      </c>
      <c r="C305" s="795" t="s">
        <v>505</v>
      </c>
      <c r="D305" s="796"/>
      <c r="E305" s="841">
        <f t="shared" ref="E305:G305" si="129">SUM(E306,E308)</f>
        <v>269187523</v>
      </c>
      <c r="F305" s="841">
        <f t="shared" si="129"/>
        <v>269187523</v>
      </c>
      <c r="G305" s="237">
        <f t="shared" si="129"/>
        <v>208764447</v>
      </c>
      <c r="H305" s="555">
        <f t="shared" si="117"/>
        <v>0.77553537650405879</v>
      </c>
      <c r="I305" s="237">
        <f t="shared" ref="I305:J305" si="130">SUM(I306,I308)</f>
        <v>176265879</v>
      </c>
      <c r="J305" s="237">
        <f t="shared" si="130"/>
        <v>385030326</v>
      </c>
      <c r="K305" s="238">
        <f t="shared" si="112"/>
        <v>1.4303423936925932</v>
      </c>
      <c r="L305" s="290"/>
    </row>
    <row r="306" spans="1:12">
      <c r="A306" s="850"/>
      <c r="B306" s="4093" t="s">
        <v>288</v>
      </c>
      <c r="C306" s="4093"/>
      <c r="D306" s="798"/>
      <c r="E306" s="677">
        <f t="shared" ref="E306:G306" si="131">SUM(E307)</f>
        <v>269187523</v>
      </c>
      <c r="F306" s="677">
        <f t="shared" si="131"/>
        <v>269187523</v>
      </c>
      <c r="G306" s="264">
        <f t="shared" si="131"/>
        <v>208764447</v>
      </c>
      <c r="H306" s="559">
        <f t="shared" si="117"/>
        <v>0.77553537650405879</v>
      </c>
      <c r="I306" s="264">
        <f t="shared" ref="I306:J306" si="132">SUM(I307)</f>
        <v>176265879</v>
      </c>
      <c r="J306" s="241">
        <f t="shared" si="132"/>
        <v>385030326</v>
      </c>
      <c r="K306" s="203">
        <f t="shared" si="112"/>
        <v>1.4303423936925932</v>
      </c>
      <c r="L306" s="874"/>
    </row>
    <row r="307" spans="1:12" ht="24" customHeight="1">
      <c r="A307" s="850"/>
      <c r="B307" s="875"/>
      <c r="C307" s="876" t="s">
        <v>500</v>
      </c>
      <c r="D307" s="877">
        <v>2920</v>
      </c>
      <c r="E307" s="681">
        <v>269187523</v>
      </c>
      <c r="F307" s="477">
        <v>269187523</v>
      </c>
      <c r="G307" s="208">
        <v>208764447</v>
      </c>
      <c r="H307" s="209">
        <f t="shared" si="117"/>
        <v>0.77553537650405879</v>
      </c>
      <c r="I307" s="252">
        <v>176265879</v>
      </c>
      <c r="J307" s="479">
        <f>SUM(G307,I307)</f>
        <v>385030326</v>
      </c>
      <c r="K307" s="212">
        <f t="shared" si="112"/>
        <v>1.4303423936925932</v>
      </c>
      <c r="L307" s="300"/>
    </row>
    <row r="308" spans="1:12" ht="15.75" thickBot="1">
      <c r="A308" s="850"/>
      <c r="B308" s="4057" t="s">
        <v>293</v>
      </c>
      <c r="C308" s="4058"/>
      <c r="D308" s="802"/>
      <c r="E308" s="878">
        <v>0</v>
      </c>
      <c r="F308" s="879">
        <v>0</v>
      </c>
      <c r="G308" s="719">
        <v>0</v>
      </c>
      <c r="H308" s="602"/>
      <c r="I308" s="568">
        <v>0</v>
      </c>
      <c r="J308" s="449">
        <v>0</v>
      </c>
      <c r="K308" s="450"/>
      <c r="L308" s="720"/>
    </row>
    <row r="309" spans="1:12" ht="15.75" thickBot="1">
      <c r="A309" s="850"/>
      <c r="B309" s="880">
        <v>75814</v>
      </c>
      <c r="C309" s="795" t="s">
        <v>506</v>
      </c>
      <c r="D309" s="849"/>
      <c r="E309" s="841">
        <f>SUM(E313,E310)</f>
        <v>0</v>
      </c>
      <c r="F309" s="841">
        <f>SUM(F313,F310)</f>
        <v>16677434</v>
      </c>
      <c r="G309" s="237">
        <f>SUM(G313,G310)</f>
        <v>0</v>
      </c>
      <c r="H309" s="555"/>
      <c r="I309" s="237">
        <f t="shared" ref="I309:J309" si="133">SUM(I310,I312)</f>
        <v>10000000</v>
      </c>
      <c r="J309" s="237">
        <f t="shared" si="133"/>
        <v>10000000</v>
      </c>
      <c r="K309" s="238">
        <f t="shared" si="112"/>
        <v>0.59961262625893164</v>
      </c>
      <c r="L309" s="197"/>
    </row>
    <row r="310" spans="1:12">
      <c r="A310" s="850"/>
      <c r="B310" s="4127" t="s">
        <v>288</v>
      </c>
      <c r="C310" s="4093"/>
      <c r="D310" s="851"/>
      <c r="E310" s="677">
        <f>SUM(E311:E312)</f>
        <v>0</v>
      </c>
      <c r="F310" s="677">
        <f>SUM(F311:F312)</f>
        <v>16677434</v>
      </c>
      <c r="G310" s="264">
        <f>SUM(G311:G312)</f>
        <v>0</v>
      </c>
      <c r="H310" s="559"/>
      <c r="I310" s="264">
        <f t="shared" ref="I310:J310" si="134">SUM(I311)</f>
        <v>10000000</v>
      </c>
      <c r="J310" s="241">
        <f t="shared" si="134"/>
        <v>10000000</v>
      </c>
      <c r="K310" s="203">
        <f t="shared" si="112"/>
        <v>0.59961262625893164</v>
      </c>
      <c r="L310" s="204"/>
    </row>
    <row r="311" spans="1:12" ht="25.5">
      <c r="A311" s="850"/>
      <c r="B311" s="4165"/>
      <c r="C311" s="826" t="s">
        <v>507</v>
      </c>
      <c r="D311" s="881" t="s">
        <v>307</v>
      </c>
      <c r="E311" s="681">
        <v>0</v>
      </c>
      <c r="F311" s="477">
        <v>14089021</v>
      </c>
      <c r="G311" s="208">
        <v>0</v>
      </c>
      <c r="H311" s="209"/>
      <c r="I311" s="882">
        <v>10000000</v>
      </c>
      <c r="J311" s="479">
        <f>SUM(G311,I311)</f>
        <v>10000000</v>
      </c>
      <c r="K311" s="212">
        <f t="shared" si="112"/>
        <v>0.70977252429391657</v>
      </c>
      <c r="L311" s="253"/>
    </row>
    <row r="312" spans="1:12" ht="51">
      <c r="A312" s="850"/>
      <c r="B312" s="4166"/>
      <c r="C312" s="883" t="s">
        <v>508</v>
      </c>
      <c r="D312" s="884" t="s">
        <v>378</v>
      </c>
      <c r="E312" s="681">
        <v>0</v>
      </c>
      <c r="F312" s="477">
        <v>2588413</v>
      </c>
      <c r="G312" s="208">
        <v>0</v>
      </c>
      <c r="H312" s="209"/>
      <c r="I312" s="252">
        <v>0</v>
      </c>
      <c r="J312" s="479">
        <f>SUM(G312,I312)</f>
        <v>0</v>
      </c>
      <c r="K312" s="212">
        <f t="shared" si="112"/>
        <v>0</v>
      </c>
      <c r="L312" s="253"/>
    </row>
    <row r="313" spans="1:12" ht="14.25" customHeight="1" thickBot="1">
      <c r="A313" s="850"/>
      <c r="B313" s="4070" t="s">
        <v>293</v>
      </c>
      <c r="C313" s="4058"/>
      <c r="D313" s="885"/>
      <c r="E313" s="277">
        <v>0</v>
      </c>
      <c r="F313" s="277">
        <v>0</v>
      </c>
      <c r="G313" s="257">
        <v>0</v>
      </c>
      <c r="H313" s="602"/>
      <c r="I313" s="886">
        <v>0</v>
      </c>
      <c r="J313" s="553">
        <v>0</v>
      </c>
      <c r="K313" s="554"/>
      <c r="L313" s="225"/>
    </row>
    <row r="314" spans="1:12" ht="15.75" hidden="1" customHeight="1" thickBot="1">
      <c r="A314" s="850"/>
      <c r="B314" s="887">
        <v>75816</v>
      </c>
      <c r="C314" s="888" t="s">
        <v>509</v>
      </c>
      <c r="D314" s="889"/>
      <c r="E314" s="625">
        <v>0</v>
      </c>
      <c r="F314" s="533"/>
      <c r="G314" s="534"/>
      <c r="H314" s="626" t="e">
        <f t="shared" si="117"/>
        <v>#DIV/0!</v>
      </c>
      <c r="I314" s="215"/>
      <c r="J314" s="479"/>
      <c r="K314" s="375" t="e">
        <f t="shared" si="112"/>
        <v>#DIV/0!</v>
      </c>
      <c r="L314" s="247"/>
    </row>
    <row r="315" spans="1:12" ht="15.75" hidden="1" customHeight="1" thickBot="1">
      <c r="A315" s="850"/>
      <c r="B315" s="4074" t="s">
        <v>360</v>
      </c>
      <c r="C315" s="4074"/>
      <c r="D315" s="851"/>
      <c r="E315" s="890">
        <v>0</v>
      </c>
      <c r="F315" s="230"/>
      <c r="G315" s="231"/>
      <c r="H315" s="209" t="e">
        <f t="shared" si="117"/>
        <v>#DIV/0!</v>
      </c>
      <c r="I315" s="252"/>
      <c r="J315" s="211"/>
      <c r="K315" s="212" t="e">
        <f t="shared" si="112"/>
        <v>#DIV/0!</v>
      </c>
      <c r="L315" s="247"/>
    </row>
    <row r="316" spans="1:12" ht="15.75" hidden="1" customHeight="1" thickBot="1">
      <c r="A316" s="850"/>
      <c r="B316" s="4132" t="s">
        <v>334</v>
      </c>
      <c r="C316" s="4132"/>
      <c r="D316" s="891"/>
      <c r="E316" s="892">
        <v>0</v>
      </c>
      <c r="F316" s="230"/>
      <c r="G316" s="231"/>
      <c r="H316" s="209" t="e">
        <f t="shared" si="117"/>
        <v>#DIV/0!</v>
      </c>
      <c r="I316" s="252"/>
      <c r="J316" s="211"/>
      <c r="K316" s="212" t="e">
        <f t="shared" si="112"/>
        <v>#DIV/0!</v>
      </c>
      <c r="L316" s="247"/>
    </row>
    <row r="317" spans="1:12" s="579" customFormat="1" ht="0.75" hidden="1" customHeight="1" thickBot="1">
      <c r="A317" s="850"/>
      <c r="B317" s="893"/>
      <c r="C317" s="894" t="s">
        <v>510</v>
      </c>
      <c r="D317" s="895" t="s">
        <v>511</v>
      </c>
      <c r="E317" s="896">
        <v>0</v>
      </c>
      <c r="F317" s="897"/>
      <c r="G317" s="898"/>
      <c r="H317" s="635" t="e">
        <f t="shared" si="117"/>
        <v>#DIV/0!</v>
      </c>
      <c r="I317" s="426"/>
      <c r="J317" s="636"/>
      <c r="K317" s="234" t="e">
        <f t="shared" si="112"/>
        <v>#DIV/0!</v>
      </c>
      <c r="L317" s="235"/>
    </row>
    <row r="318" spans="1:12" s="579" customFormat="1" ht="15" customHeight="1" thickBot="1">
      <c r="A318" s="850"/>
      <c r="B318" s="880">
        <v>75819</v>
      </c>
      <c r="C318" s="795" t="s">
        <v>512</v>
      </c>
      <c r="D318" s="796"/>
      <c r="E318" s="841">
        <f t="shared" ref="E318:G318" si="135">SUM(E319,E321)</f>
        <v>20841827</v>
      </c>
      <c r="F318" s="841">
        <f t="shared" si="135"/>
        <v>20841827</v>
      </c>
      <c r="G318" s="237">
        <f t="shared" si="135"/>
        <v>20841827</v>
      </c>
      <c r="H318" s="555">
        <f t="shared" si="117"/>
        <v>1</v>
      </c>
      <c r="I318" s="237">
        <f t="shared" ref="I318:J318" si="136">SUM(I319,I321)</f>
        <v>21308</v>
      </c>
      <c r="J318" s="237">
        <f t="shared" si="136"/>
        <v>20863135</v>
      </c>
      <c r="K318" s="238">
        <f t="shared" si="112"/>
        <v>1.001022367184988</v>
      </c>
      <c r="L318" s="469"/>
    </row>
    <row r="319" spans="1:12" s="579" customFormat="1" ht="15" customHeight="1">
      <c r="A319" s="850"/>
      <c r="B319" s="4093" t="s">
        <v>288</v>
      </c>
      <c r="C319" s="4093"/>
      <c r="D319" s="798"/>
      <c r="E319" s="677">
        <f t="shared" ref="E319:G319" si="137">SUM(E320)</f>
        <v>20841827</v>
      </c>
      <c r="F319" s="677">
        <f t="shared" si="137"/>
        <v>20841827</v>
      </c>
      <c r="G319" s="264">
        <f t="shared" si="137"/>
        <v>20841827</v>
      </c>
      <c r="H319" s="559">
        <f t="shared" si="117"/>
        <v>1</v>
      </c>
      <c r="I319" s="264">
        <f t="shared" ref="I319:J319" si="138">SUM(I320)</f>
        <v>21308</v>
      </c>
      <c r="J319" s="241">
        <f t="shared" si="138"/>
        <v>20863135</v>
      </c>
      <c r="K319" s="375">
        <f t="shared" si="112"/>
        <v>1.001022367184988</v>
      </c>
      <c r="L319" s="474"/>
    </row>
    <row r="320" spans="1:12" s="579" customFormat="1" ht="47.25" customHeight="1">
      <c r="A320" s="850"/>
      <c r="B320" s="799"/>
      <c r="C320" s="899" t="s">
        <v>502</v>
      </c>
      <c r="D320" s="881" t="s">
        <v>513</v>
      </c>
      <c r="E320" s="681">
        <v>20841827</v>
      </c>
      <c r="F320" s="492">
        <v>20841827</v>
      </c>
      <c r="G320" s="492">
        <v>20841827</v>
      </c>
      <c r="H320" s="209">
        <f t="shared" si="117"/>
        <v>1</v>
      </c>
      <c r="I320" s="252">
        <v>21308</v>
      </c>
      <c r="J320" s="479">
        <f>SUM(G320,I320)</f>
        <v>20863135</v>
      </c>
      <c r="K320" s="212">
        <f t="shared" si="112"/>
        <v>1.001022367184988</v>
      </c>
      <c r="L320" s="300"/>
    </row>
    <row r="321" spans="1:26" s="579" customFormat="1" ht="15" customHeight="1" thickBot="1">
      <c r="A321" s="850"/>
      <c r="B321" s="4071" t="s">
        <v>293</v>
      </c>
      <c r="C321" s="4071"/>
      <c r="D321" s="885"/>
      <c r="E321" s="277">
        <v>0</v>
      </c>
      <c r="F321" s="277">
        <v>0</v>
      </c>
      <c r="G321" s="319">
        <v>0</v>
      </c>
      <c r="H321" s="567"/>
      <c r="I321" s="568">
        <v>0</v>
      </c>
      <c r="J321" s="449">
        <v>0</v>
      </c>
      <c r="K321" s="450"/>
      <c r="L321" s="259"/>
    </row>
    <row r="322" spans="1:26" s="579" customFormat="1" ht="15" customHeight="1" thickBot="1">
      <c r="A322" s="850"/>
      <c r="B322" s="900">
        <v>75833</v>
      </c>
      <c r="C322" s="901" t="s">
        <v>514</v>
      </c>
      <c r="D322" s="889"/>
      <c r="E322" s="658">
        <v>105406051</v>
      </c>
      <c r="F322" s="658">
        <f t="shared" ref="F322:G322" si="139">SUM(F323,F325)</f>
        <v>105406051</v>
      </c>
      <c r="G322" s="237">
        <f t="shared" si="139"/>
        <v>85780845</v>
      </c>
      <c r="H322" s="555">
        <f t="shared" si="117"/>
        <v>0.81381328857486557</v>
      </c>
      <c r="I322" s="237">
        <f t="shared" ref="I322:J322" si="140">SUM(I323,I325)</f>
        <v>55933096</v>
      </c>
      <c r="J322" s="237">
        <f t="shared" si="140"/>
        <v>141713941</v>
      </c>
      <c r="K322" s="238">
        <f t="shared" si="112"/>
        <v>1.3444573594736036</v>
      </c>
      <c r="L322" s="197"/>
    </row>
    <row r="323" spans="1:26" s="579" customFormat="1" ht="15" customHeight="1">
      <c r="A323" s="850"/>
      <c r="B323" s="4088" t="s">
        <v>288</v>
      </c>
      <c r="C323" s="4089"/>
      <c r="D323" s="902"/>
      <c r="E323" s="263">
        <v>105406051</v>
      </c>
      <c r="F323" s="263">
        <f t="shared" ref="F323:J323" si="141">SUM(F324)</f>
        <v>105406051</v>
      </c>
      <c r="G323" s="264">
        <f t="shared" si="141"/>
        <v>85780845</v>
      </c>
      <c r="H323" s="559">
        <f t="shared" si="117"/>
        <v>0.81381328857486557</v>
      </c>
      <c r="I323" s="264">
        <f t="shared" si="141"/>
        <v>55933096</v>
      </c>
      <c r="J323" s="241">
        <f t="shared" si="141"/>
        <v>141713941</v>
      </c>
      <c r="K323" s="203">
        <f t="shared" si="112"/>
        <v>1.3444573594736036</v>
      </c>
      <c r="L323" s="204"/>
    </row>
    <row r="324" spans="1:26" ht="21" customHeight="1">
      <c r="A324" s="850"/>
      <c r="B324" s="903"/>
      <c r="C324" s="904" t="s">
        <v>500</v>
      </c>
      <c r="D324" s="881" t="s">
        <v>515</v>
      </c>
      <c r="E324" s="681">
        <v>105406051</v>
      </c>
      <c r="F324" s="477">
        <v>105406051</v>
      </c>
      <c r="G324" s="208">
        <v>85780845</v>
      </c>
      <c r="H324" s="209">
        <f t="shared" si="117"/>
        <v>0.81381328857486557</v>
      </c>
      <c r="I324" s="252">
        <v>55933096</v>
      </c>
      <c r="J324" s="479">
        <f>SUM(G324,I324)</f>
        <v>141713941</v>
      </c>
      <c r="K324" s="212">
        <f t="shared" si="112"/>
        <v>1.3444573594736036</v>
      </c>
      <c r="L324" s="300"/>
    </row>
    <row r="325" spans="1:26" ht="15" customHeight="1" thickBot="1">
      <c r="A325" s="905"/>
      <c r="B325" s="4071" t="s">
        <v>293</v>
      </c>
      <c r="C325" s="4048"/>
      <c r="D325" s="906"/>
      <c r="E325" s="277">
        <v>0</v>
      </c>
      <c r="F325" s="277">
        <v>0</v>
      </c>
      <c r="G325" s="257">
        <v>0</v>
      </c>
      <c r="H325" s="602"/>
      <c r="I325" s="886">
        <v>0</v>
      </c>
      <c r="J325" s="553">
        <v>0</v>
      </c>
      <c r="K325" s="554"/>
      <c r="L325" s="259"/>
    </row>
    <row r="326" spans="1:26" ht="40.5" customHeight="1" thickBot="1">
      <c r="A326" s="848"/>
      <c r="B326" s="907">
        <v>75863</v>
      </c>
      <c r="C326" s="854" t="s">
        <v>516</v>
      </c>
      <c r="D326" s="855"/>
      <c r="E326" s="236">
        <f t="shared" ref="E326:G326" si="142">SUM(E327,E334)</f>
        <v>175303727</v>
      </c>
      <c r="F326" s="236">
        <f t="shared" si="142"/>
        <v>177386842</v>
      </c>
      <c r="G326" s="237">
        <f t="shared" si="142"/>
        <v>301640701</v>
      </c>
      <c r="H326" s="555">
        <f t="shared" si="117"/>
        <v>1.720674774929343</v>
      </c>
      <c r="I326" s="236">
        <f t="shared" ref="I326:J326" si="143">SUM(I327,I334)</f>
        <v>0</v>
      </c>
      <c r="J326" s="237">
        <f t="shared" si="143"/>
        <v>301640701</v>
      </c>
      <c r="K326" s="238">
        <f t="shared" si="112"/>
        <v>1.7004682962899806</v>
      </c>
      <c r="L326" s="290"/>
    </row>
    <row r="327" spans="1:26" s="579" customFormat="1" ht="15" customHeight="1">
      <c r="A327" s="850"/>
      <c r="B327" s="4045" t="s">
        <v>288</v>
      </c>
      <c r="C327" s="4082"/>
      <c r="D327" s="908"/>
      <c r="E327" s="240">
        <f>SUM(E328:E333)</f>
        <v>33264664</v>
      </c>
      <c r="F327" s="240">
        <f>SUM(F328:F333)</f>
        <v>37122640</v>
      </c>
      <c r="G327" s="241">
        <f>SUM(G328:G333)</f>
        <v>12372377</v>
      </c>
      <c r="H327" s="559">
        <f t="shared" si="117"/>
        <v>0.37193753106900462</v>
      </c>
      <c r="I327" s="240">
        <f>SUM(I328:I333)</f>
        <v>0</v>
      </c>
      <c r="J327" s="241">
        <f>SUM(J328:J333)</f>
        <v>12372377</v>
      </c>
      <c r="K327" s="203">
        <f t="shared" si="112"/>
        <v>0.33328386666465531</v>
      </c>
      <c r="L327" s="294"/>
    </row>
    <row r="328" spans="1:26" ht="51">
      <c r="A328" s="850"/>
      <c r="B328" s="909"/>
      <c r="C328" s="910" t="s">
        <v>517</v>
      </c>
      <c r="D328" s="4161">
        <v>2007</v>
      </c>
      <c r="E328" s="206">
        <v>17627621</v>
      </c>
      <c r="F328" s="207">
        <v>15358755</v>
      </c>
      <c r="G328" s="208">
        <v>4080466</v>
      </c>
      <c r="H328" s="209">
        <f t="shared" si="117"/>
        <v>0.23148137800330515</v>
      </c>
      <c r="I328" s="252">
        <v>0</v>
      </c>
      <c r="J328" s="479">
        <f>SUM(G328,I328)</f>
        <v>4080466</v>
      </c>
      <c r="K328" s="212">
        <f t="shared" si="112"/>
        <v>0.26567687289757536</v>
      </c>
      <c r="L328" s="300"/>
    </row>
    <row r="329" spans="1:26" ht="50.25" hidden="1" customHeight="1" thickBot="1">
      <c r="A329" s="850"/>
      <c r="B329" s="911"/>
      <c r="C329" s="912" t="s">
        <v>518</v>
      </c>
      <c r="D329" s="4164"/>
      <c r="E329" s="401"/>
      <c r="F329" s="207"/>
      <c r="G329" s="208"/>
      <c r="H329" s="209" t="e">
        <f t="shared" si="117"/>
        <v>#DIV/0!</v>
      </c>
      <c r="I329" s="252"/>
      <c r="J329" s="211"/>
      <c r="K329" s="212" t="e">
        <f t="shared" ref="K329:K392" si="144">J329/F329</f>
        <v>#DIV/0!</v>
      </c>
      <c r="L329" s="297"/>
    </row>
    <row r="330" spans="1:26" ht="54.75" hidden="1" customHeight="1">
      <c r="A330" s="850"/>
      <c r="B330" s="913"/>
      <c r="C330" s="914" t="s">
        <v>519</v>
      </c>
      <c r="D330" s="915">
        <v>2009</v>
      </c>
      <c r="E330" s="401"/>
      <c r="F330" s="207"/>
      <c r="G330" s="208"/>
      <c r="H330" s="209" t="e">
        <f t="shared" si="117"/>
        <v>#DIV/0!</v>
      </c>
      <c r="I330" s="252"/>
      <c r="J330" s="211"/>
      <c r="K330" s="212" t="e">
        <f t="shared" si="144"/>
        <v>#DIV/0!</v>
      </c>
      <c r="L330" s="297"/>
    </row>
    <row r="331" spans="1:26" ht="51">
      <c r="A331" s="850"/>
      <c r="B331" s="916"/>
      <c r="C331" s="917" t="s">
        <v>517</v>
      </c>
      <c r="D331" s="4161">
        <v>2057</v>
      </c>
      <c r="E331" s="206">
        <v>15637043</v>
      </c>
      <c r="F331" s="207">
        <v>20828885</v>
      </c>
      <c r="G331" s="208">
        <v>4761911</v>
      </c>
      <c r="H331" s="209">
        <f t="shared" si="117"/>
        <v>0.30452758875191427</v>
      </c>
      <c r="I331" s="252">
        <v>0</v>
      </c>
      <c r="J331" s="479">
        <f>SUM(G331,I331)</f>
        <v>4761911</v>
      </c>
      <c r="K331" s="212">
        <f t="shared" si="144"/>
        <v>0.22862054305835383</v>
      </c>
      <c r="L331" s="300"/>
    </row>
    <row r="332" spans="1:26" ht="50.25" hidden="1" customHeight="1" thickBot="1">
      <c r="A332" s="850"/>
      <c r="B332" s="911"/>
      <c r="C332" s="918" t="s">
        <v>518</v>
      </c>
      <c r="D332" s="4162"/>
      <c r="E332" s="424"/>
      <c r="F332" s="207"/>
      <c r="G332" s="208"/>
      <c r="H332" s="209" t="e">
        <f t="shared" si="117"/>
        <v>#DIV/0!</v>
      </c>
      <c r="I332" s="252"/>
      <c r="J332" s="211"/>
      <c r="K332" s="212" t="e">
        <f t="shared" si="144"/>
        <v>#DIV/0!</v>
      </c>
      <c r="L332" s="300"/>
    </row>
    <row r="333" spans="1:26" ht="51">
      <c r="A333" s="850"/>
      <c r="B333" s="919"/>
      <c r="C333" s="920" t="s">
        <v>1350</v>
      </c>
      <c r="D333" s="921">
        <v>2058</v>
      </c>
      <c r="E333" s="401">
        <v>0</v>
      </c>
      <c r="F333" s="408">
        <v>935000</v>
      </c>
      <c r="G333" s="208">
        <v>3530000</v>
      </c>
      <c r="H333" s="209"/>
      <c r="I333" s="252">
        <v>0</v>
      </c>
      <c r="J333" s="479">
        <f>SUM(G333,I333)</f>
        <v>3530000</v>
      </c>
      <c r="K333" s="212">
        <f t="shared" si="144"/>
        <v>3.7754010695187166</v>
      </c>
      <c r="L333" s="300"/>
    </row>
    <row r="334" spans="1:26" ht="15" customHeight="1">
      <c r="A334" s="850"/>
      <c r="B334" s="4156" t="s">
        <v>334</v>
      </c>
      <c r="C334" s="4163"/>
      <c r="D334" s="922"/>
      <c r="E334" s="325">
        <f>SUM(E335:E340)</f>
        <v>142039063</v>
      </c>
      <c r="F334" s="325">
        <f t="shared" ref="F334" si="145">SUM(F335:F340)</f>
        <v>140264202</v>
      </c>
      <c r="G334" s="326">
        <f>SUM(G335:G340)</f>
        <v>289268324</v>
      </c>
      <c r="H334" s="559">
        <f t="shared" si="117"/>
        <v>2.0365406381200923</v>
      </c>
      <c r="I334" s="325">
        <f>SUM(I335:I340)</f>
        <v>0</v>
      </c>
      <c r="J334" s="326">
        <f t="shared" ref="J334" si="146">SUM(J335:J340)</f>
        <v>289268324</v>
      </c>
      <c r="K334" s="419">
        <f t="shared" si="144"/>
        <v>2.062310410463819</v>
      </c>
      <c r="L334" s="294"/>
    </row>
    <row r="335" spans="1:26" ht="51">
      <c r="A335" s="850"/>
      <c r="B335" s="909"/>
      <c r="C335" s="923" t="s">
        <v>517</v>
      </c>
      <c r="D335" s="921">
        <v>6207</v>
      </c>
      <c r="E335" s="206">
        <v>206487</v>
      </c>
      <c r="F335" s="207">
        <v>3864228</v>
      </c>
      <c r="G335" s="208">
        <v>0</v>
      </c>
      <c r="H335" s="209">
        <f t="shared" si="117"/>
        <v>0</v>
      </c>
      <c r="I335" s="252">
        <v>0</v>
      </c>
      <c r="J335" s="479">
        <f>SUM(G335,I335)</f>
        <v>0</v>
      </c>
      <c r="K335" s="212">
        <f t="shared" si="144"/>
        <v>0</v>
      </c>
      <c r="L335" s="300"/>
    </row>
    <row r="336" spans="1:26" s="579" customFormat="1" ht="51">
      <c r="A336" s="850"/>
      <c r="B336" s="916"/>
      <c r="C336" s="924" t="s">
        <v>521</v>
      </c>
      <c r="D336" s="921">
        <v>6209</v>
      </c>
      <c r="E336" s="206">
        <v>9360112</v>
      </c>
      <c r="F336" s="207">
        <v>9360112</v>
      </c>
      <c r="G336" s="208">
        <v>12326852</v>
      </c>
      <c r="H336" s="209">
        <f t="shared" si="117"/>
        <v>1.316955609078182</v>
      </c>
      <c r="I336" s="252">
        <v>0</v>
      </c>
      <c r="J336" s="479">
        <f>SUM(G336,I336)</f>
        <v>12326852</v>
      </c>
      <c r="K336" s="212">
        <f t="shared" si="144"/>
        <v>1.316955609078182</v>
      </c>
      <c r="L336" s="300"/>
      <c r="M336" s="161"/>
      <c r="N336" s="161"/>
      <c r="O336" s="161"/>
      <c r="P336" s="161"/>
      <c r="Q336" s="161"/>
      <c r="R336" s="161"/>
      <c r="S336" s="161"/>
      <c r="T336" s="161"/>
      <c r="U336" s="161"/>
      <c r="V336" s="161"/>
      <c r="W336" s="161"/>
      <c r="X336" s="161"/>
      <c r="Y336" s="161"/>
      <c r="Z336" s="161"/>
    </row>
    <row r="337" spans="1:81" s="579" customFormat="1" ht="51">
      <c r="A337" s="850"/>
      <c r="B337" s="916"/>
      <c r="C337" s="925" t="s">
        <v>517</v>
      </c>
      <c r="D337" s="4098">
        <v>6257</v>
      </c>
      <c r="E337" s="401">
        <v>132472464</v>
      </c>
      <c r="F337" s="408">
        <v>127039862</v>
      </c>
      <c r="G337" s="409">
        <v>271797131</v>
      </c>
      <c r="H337" s="626">
        <f t="shared" ref="H337:H403" si="147">G337/E337</f>
        <v>2.0517254891552406</v>
      </c>
      <c r="I337" s="215">
        <v>0</v>
      </c>
      <c r="J337" s="479">
        <f>SUM(G337,I337)</f>
        <v>271797131</v>
      </c>
      <c r="K337" s="212">
        <f t="shared" si="144"/>
        <v>2.1394633678049808</v>
      </c>
      <c r="L337" s="410"/>
      <c r="M337" s="161"/>
      <c r="N337" s="161"/>
      <c r="O337" s="161"/>
      <c r="P337" s="161"/>
      <c r="Q337" s="161"/>
      <c r="R337" s="161"/>
      <c r="S337" s="161"/>
      <c r="T337" s="161"/>
      <c r="U337" s="161"/>
      <c r="V337" s="161"/>
      <c r="W337" s="161"/>
      <c r="X337" s="161"/>
      <c r="Y337" s="161"/>
      <c r="Z337" s="161"/>
    </row>
    <row r="338" spans="1:81" s="579" customFormat="1" ht="63.75" hidden="1" customHeight="1">
      <c r="A338" s="850"/>
      <c r="B338" s="916"/>
      <c r="C338" s="926" t="s">
        <v>518</v>
      </c>
      <c r="D338" s="4098"/>
      <c r="E338" s="206">
        <v>0</v>
      </c>
      <c r="F338" s="207">
        <v>0</v>
      </c>
      <c r="G338" s="208">
        <v>0</v>
      </c>
      <c r="H338" s="209"/>
      <c r="I338" s="252"/>
      <c r="J338" s="211"/>
      <c r="K338" s="212" t="e">
        <f t="shared" si="144"/>
        <v>#DIV/0!</v>
      </c>
      <c r="L338" s="300"/>
      <c r="M338" s="161"/>
      <c r="N338" s="161"/>
      <c r="O338" s="161"/>
      <c r="P338" s="161"/>
      <c r="Q338" s="161"/>
      <c r="R338" s="161"/>
      <c r="S338" s="161"/>
      <c r="T338" s="161"/>
      <c r="U338" s="161"/>
      <c r="V338" s="161"/>
      <c r="W338" s="161"/>
      <c r="X338" s="161"/>
      <c r="Y338" s="161"/>
      <c r="Z338" s="161"/>
    </row>
    <row r="339" spans="1:81" ht="51.75" customHeight="1" thickBot="1">
      <c r="A339" s="850"/>
      <c r="B339" s="916"/>
      <c r="C339" s="926" t="s">
        <v>522</v>
      </c>
      <c r="D339" s="4161">
        <v>6259</v>
      </c>
      <c r="E339" s="401">
        <v>0</v>
      </c>
      <c r="F339" s="207">
        <v>0</v>
      </c>
      <c r="G339" s="208">
        <v>5144341</v>
      </c>
      <c r="H339" s="209"/>
      <c r="I339" s="252">
        <v>0</v>
      </c>
      <c r="J339" s="479">
        <f>SUM(G339,I339)</f>
        <v>5144341</v>
      </c>
      <c r="K339" s="212"/>
      <c r="L339" s="297"/>
    </row>
    <row r="340" spans="1:81" ht="62.25" hidden="1" customHeight="1" thickBot="1">
      <c r="A340" s="850"/>
      <c r="B340" s="916"/>
      <c r="C340" s="926" t="s">
        <v>523</v>
      </c>
      <c r="D340" s="4098"/>
      <c r="E340" s="251"/>
      <c r="F340" s="581"/>
      <c r="G340" s="306"/>
      <c r="H340" s="635" t="e">
        <f t="shared" si="147"/>
        <v>#DIV/0!</v>
      </c>
      <c r="I340" s="426"/>
      <c r="J340" s="636"/>
      <c r="K340" s="234" t="e">
        <f t="shared" si="144"/>
        <v>#DIV/0!</v>
      </c>
      <c r="L340" s="663"/>
    </row>
    <row r="341" spans="1:81" ht="28.5" customHeight="1" thickBot="1">
      <c r="A341" s="850"/>
      <c r="B341" s="853">
        <v>75864</v>
      </c>
      <c r="C341" s="854" t="s">
        <v>524</v>
      </c>
      <c r="D341" s="855"/>
      <c r="E341" s="236">
        <f>SUM(E342,E348)</f>
        <v>95334200</v>
      </c>
      <c r="F341" s="236">
        <f>SUM(F342,F348)</f>
        <v>96925133</v>
      </c>
      <c r="G341" s="237">
        <f>SUM(G342,G348)</f>
        <v>79553233</v>
      </c>
      <c r="H341" s="555">
        <f t="shared" si="147"/>
        <v>0.83446688596537233</v>
      </c>
      <c r="I341" s="236">
        <f>SUM(I342,I348)</f>
        <v>0</v>
      </c>
      <c r="J341" s="237">
        <f>SUM(J342,J348)</f>
        <v>79553233</v>
      </c>
      <c r="K341" s="238">
        <f t="shared" si="144"/>
        <v>0.82076991320713488</v>
      </c>
      <c r="L341" s="290"/>
    </row>
    <row r="342" spans="1:81" s="579" customFormat="1" ht="15" customHeight="1">
      <c r="A342" s="850"/>
      <c r="B342" s="4045" t="s">
        <v>288</v>
      </c>
      <c r="C342" s="4082"/>
      <c r="D342" s="927"/>
      <c r="E342" s="240">
        <f>SUM(E344:E347)</f>
        <v>76833870</v>
      </c>
      <c r="F342" s="240">
        <f t="shared" ref="F342" si="148">SUM(F343:F347)</f>
        <v>78852528</v>
      </c>
      <c r="G342" s="201">
        <f>SUM(G344:G347)</f>
        <v>68334143</v>
      </c>
      <c r="H342" s="559">
        <f t="shared" si="147"/>
        <v>0.88937525859363842</v>
      </c>
      <c r="I342" s="240">
        <f>SUM(I344:I347)</f>
        <v>0</v>
      </c>
      <c r="J342" s="241">
        <f t="shared" ref="J342" si="149">SUM(J343:J347)</f>
        <v>68334143</v>
      </c>
      <c r="K342" s="203">
        <f t="shared" si="144"/>
        <v>0.86660687657344349</v>
      </c>
      <c r="L342" s="294"/>
    </row>
    <row r="343" spans="1:81" s="579" customFormat="1" ht="51.75" hidden="1" customHeight="1">
      <c r="A343" s="850"/>
      <c r="B343" s="4090"/>
      <c r="C343" s="926" t="s">
        <v>517</v>
      </c>
      <c r="D343" s="872">
        <v>2007</v>
      </c>
      <c r="E343" s="206"/>
      <c r="F343" s="577"/>
      <c r="G343" s="578"/>
      <c r="H343" s="209" t="e">
        <f t="shared" si="147"/>
        <v>#DIV/0!</v>
      </c>
      <c r="I343" s="252"/>
      <c r="J343" s="211"/>
      <c r="K343" s="212" t="e">
        <f t="shared" si="144"/>
        <v>#DIV/0!</v>
      </c>
      <c r="L343" s="297"/>
    </row>
    <row r="344" spans="1:81" s="579" customFormat="1" ht="51">
      <c r="A344" s="850"/>
      <c r="B344" s="4091"/>
      <c r="C344" s="924" t="s">
        <v>519</v>
      </c>
      <c r="D344" s="921">
        <v>2009</v>
      </c>
      <c r="E344" s="206">
        <v>21190400</v>
      </c>
      <c r="F344" s="207">
        <v>23259550</v>
      </c>
      <c r="G344" s="208">
        <v>9383296</v>
      </c>
      <c r="H344" s="209">
        <f t="shared" si="147"/>
        <v>0.44280881908788888</v>
      </c>
      <c r="I344" s="252">
        <v>0</v>
      </c>
      <c r="J344" s="479">
        <f>SUM(G344,I344)</f>
        <v>9383296</v>
      </c>
      <c r="K344" s="212">
        <f t="shared" si="144"/>
        <v>0.4034169190719511</v>
      </c>
      <c r="L344" s="300"/>
      <c r="M344" s="161"/>
      <c r="N344" s="161"/>
      <c r="O344" s="161"/>
      <c r="P344" s="161"/>
      <c r="Q344" s="161"/>
      <c r="R344" s="161"/>
      <c r="S344" s="161"/>
      <c r="T344" s="161"/>
      <c r="U344" s="161"/>
      <c r="V344" s="161"/>
      <c r="W344" s="161"/>
      <c r="X344" s="161"/>
      <c r="Y344" s="161"/>
      <c r="Z344" s="161"/>
      <c r="AA344" s="161"/>
      <c r="AB344" s="161"/>
      <c r="AC344" s="161"/>
      <c r="AD344" s="161"/>
      <c r="AE344" s="161"/>
      <c r="AF344" s="161"/>
      <c r="AG344" s="161"/>
      <c r="AH344" s="161"/>
      <c r="AI344" s="161"/>
      <c r="AJ344" s="161"/>
      <c r="AK344" s="161"/>
      <c r="AL344" s="161"/>
      <c r="AM344" s="161"/>
      <c r="AN344" s="161"/>
      <c r="AO344" s="161"/>
      <c r="AP344" s="161"/>
      <c r="AQ344" s="161"/>
      <c r="AR344" s="161"/>
      <c r="AS344" s="161"/>
      <c r="AT344" s="161"/>
      <c r="AU344" s="161"/>
      <c r="AV344" s="161"/>
      <c r="AW344" s="161"/>
      <c r="AX344" s="161"/>
      <c r="AY344" s="161"/>
      <c r="AZ344" s="161"/>
      <c r="BA344" s="161"/>
      <c r="BB344" s="161"/>
      <c r="BC344" s="161"/>
      <c r="BD344" s="161"/>
      <c r="BE344" s="161"/>
      <c r="BF344" s="161"/>
      <c r="BG344" s="161"/>
      <c r="BH344" s="161"/>
      <c r="BI344" s="161"/>
      <c r="BJ344" s="161"/>
      <c r="BK344" s="161"/>
      <c r="BL344" s="161"/>
      <c r="BM344" s="161"/>
      <c r="BN344" s="161"/>
      <c r="BO344" s="161"/>
      <c r="BP344" s="161"/>
      <c r="BQ344" s="161"/>
      <c r="BR344" s="161"/>
      <c r="BS344" s="161"/>
      <c r="BT344" s="161"/>
      <c r="BU344" s="161"/>
      <c r="BV344" s="161"/>
      <c r="BW344" s="161"/>
      <c r="BX344" s="161"/>
      <c r="BY344" s="161"/>
      <c r="BZ344" s="161"/>
      <c r="CA344" s="161"/>
      <c r="CB344" s="161"/>
      <c r="CC344" s="161"/>
    </row>
    <row r="345" spans="1:81" s="579" customFormat="1" ht="51">
      <c r="A345" s="850"/>
      <c r="B345" s="4091"/>
      <c r="C345" s="924" t="s">
        <v>517</v>
      </c>
      <c r="D345" s="921">
        <v>2057</v>
      </c>
      <c r="E345" s="206">
        <v>4991200</v>
      </c>
      <c r="F345" s="207">
        <v>4717500</v>
      </c>
      <c r="G345" s="208">
        <v>18216590</v>
      </c>
      <c r="H345" s="209">
        <f t="shared" si="147"/>
        <v>3.6497415451194102</v>
      </c>
      <c r="I345" s="252">
        <v>0</v>
      </c>
      <c r="J345" s="479">
        <f t="shared" ref="J345:J351" si="150">SUM(G345,I345)</f>
        <v>18216590</v>
      </c>
      <c r="K345" s="212">
        <f t="shared" si="144"/>
        <v>3.8614923158452572</v>
      </c>
      <c r="L345" s="300"/>
      <c r="M345" s="161"/>
      <c r="N345" s="161"/>
      <c r="O345" s="161"/>
      <c r="P345" s="161"/>
      <c r="Q345" s="161"/>
      <c r="R345" s="161"/>
      <c r="S345" s="161"/>
      <c r="T345" s="161"/>
      <c r="U345" s="161"/>
      <c r="V345" s="161"/>
      <c r="W345" s="161"/>
      <c r="X345" s="161"/>
      <c r="Y345" s="161"/>
      <c r="Z345" s="161"/>
      <c r="AA345" s="161"/>
      <c r="AB345" s="161"/>
      <c r="AC345" s="161"/>
      <c r="AD345" s="161"/>
      <c r="AE345" s="161"/>
      <c r="AF345" s="161"/>
      <c r="AG345" s="161"/>
      <c r="AH345" s="161"/>
      <c r="AI345" s="161"/>
      <c r="AJ345" s="161"/>
      <c r="AK345" s="161"/>
      <c r="AL345" s="161"/>
      <c r="AM345" s="161"/>
      <c r="AN345" s="161"/>
      <c r="AO345" s="161"/>
      <c r="AP345" s="161"/>
      <c r="AQ345" s="161"/>
      <c r="AR345" s="161"/>
      <c r="AS345" s="161"/>
      <c r="AT345" s="161"/>
      <c r="AU345" s="161"/>
      <c r="AV345" s="161"/>
      <c r="AW345" s="161"/>
      <c r="AX345" s="161"/>
      <c r="AY345" s="161"/>
      <c r="AZ345" s="161"/>
      <c r="BA345" s="161"/>
      <c r="BB345" s="161"/>
      <c r="BC345" s="161"/>
      <c r="BD345" s="161"/>
      <c r="BE345" s="161"/>
      <c r="BF345" s="161"/>
      <c r="BG345" s="161"/>
      <c r="BH345" s="161"/>
      <c r="BI345" s="161"/>
      <c r="BJ345" s="161"/>
      <c r="BK345" s="161"/>
      <c r="BL345" s="161"/>
      <c r="BM345" s="161"/>
      <c r="BN345" s="161"/>
      <c r="BO345" s="161"/>
      <c r="BP345" s="161"/>
      <c r="BQ345" s="161"/>
      <c r="BR345" s="161"/>
      <c r="BS345" s="161"/>
      <c r="BT345" s="161"/>
      <c r="BU345" s="161"/>
      <c r="BV345" s="161"/>
      <c r="BW345" s="161"/>
      <c r="BX345" s="161"/>
      <c r="BY345" s="161"/>
      <c r="BZ345" s="161"/>
      <c r="CA345" s="161"/>
      <c r="CB345" s="161"/>
      <c r="CC345" s="161"/>
    </row>
    <row r="346" spans="1:81" s="930" customFormat="1" ht="51">
      <c r="A346" s="850"/>
      <c r="B346" s="4091"/>
      <c r="C346" s="928" t="s">
        <v>520</v>
      </c>
      <c r="D346" s="929">
        <v>2058</v>
      </c>
      <c r="E346" s="206">
        <v>50233670</v>
      </c>
      <c r="F346" s="207">
        <v>50489078</v>
      </c>
      <c r="G346" s="208">
        <v>40734257</v>
      </c>
      <c r="H346" s="209">
        <f t="shared" si="147"/>
        <v>0.81089550096578644</v>
      </c>
      <c r="I346" s="252">
        <v>0</v>
      </c>
      <c r="J346" s="479">
        <f t="shared" si="150"/>
        <v>40734257</v>
      </c>
      <c r="K346" s="212">
        <f t="shared" si="144"/>
        <v>0.80679344154393151</v>
      </c>
      <c r="L346" s="300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  <c r="AA346" s="161"/>
      <c r="AB346" s="161"/>
      <c r="AC346" s="161"/>
      <c r="AD346" s="161"/>
      <c r="AE346" s="161"/>
      <c r="AF346" s="161"/>
      <c r="AG346" s="161"/>
      <c r="AH346" s="161"/>
      <c r="AI346" s="161"/>
      <c r="AJ346" s="161"/>
      <c r="AK346" s="161"/>
      <c r="AL346" s="161"/>
      <c r="AM346" s="161"/>
      <c r="AN346" s="161"/>
      <c r="AO346" s="161"/>
      <c r="AP346" s="161"/>
      <c r="AQ346" s="161"/>
      <c r="AR346" s="161"/>
      <c r="AS346" s="161"/>
      <c r="AT346" s="161"/>
      <c r="AU346" s="161"/>
      <c r="AV346" s="161"/>
      <c r="AW346" s="161"/>
      <c r="AX346" s="161"/>
      <c r="AY346" s="161"/>
      <c r="AZ346" s="161"/>
      <c r="BA346" s="161"/>
      <c r="BB346" s="161"/>
      <c r="BC346" s="161"/>
      <c r="BD346" s="161"/>
      <c r="BE346" s="161"/>
      <c r="BF346" s="161"/>
      <c r="BG346" s="161"/>
      <c r="BH346" s="161"/>
      <c r="BI346" s="161"/>
      <c r="BJ346" s="161"/>
      <c r="BK346" s="161"/>
      <c r="BL346" s="161"/>
      <c r="BM346" s="161"/>
      <c r="BN346" s="161"/>
      <c r="BO346" s="161"/>
      <c r="BP346" s="161"/>
      <c r="BQ346" s="161"/>
      <c r="BR346" s="161"/>
      <c r="BS346" s="161"/>
      <c r="BT346" s="161"/>
      <c r="BU346" s="161"/>
      <c r="BV346" s="161"/>
      <c r="BW346" s="161"/>
      <c r="BX346" s="161"/>
      <c r="BY346" s="161"/>
      <c r="BZ346" s="161"/>
      <c r="CA346" s="161"/>
      <c r="CB346" s="161"/>
      <c r="CC346" s="161"/>
    </row>
    <row r="347" spans="1:81" s="931" customFormat="1" ht="51">
      <c r="A347" s="850"/>
      <c r="B347" s="4092"/>
      <c r="C347" s="920" t="s">
        <v>525</v>
      </c>
      <c r="D347" s="921">
        <v>2059</v>
      </c>
      <c r="E347" s="206">
        <v>418600</v>
      </c>
      <c r="F347" s="207">
        <v>386400</v>
      </c>
      <c r="G347" s="208">
        <v>0</v>
      </c>
      <c r="H347" s="209">
        <f t="shared" si="147"/>
        <v>0</v>
      </c>
      <c r="I347" s="252">
        <v>0</v>
      </c>
      <c r="J347" s="479">
        <f t="shared" si="150"/>
        <v>0</v>
      </c>
      <c r="K347" s="212">
        <f t="shared" si="144"/>
        <v>0</v>
      </c>
      <c r="L347" s="300"/>
      <c r="M347" s="161"/>
      <c r="N347" s="161"/>
      <c r="O347" s="161"/>
      <c r="P347" s="161"/>
      <c r="Q347" s="161"/>
      <c r="R347" s="161"/>
      <c r="S347" s="161"/>
      <c r="T347" s="161"/>
      <c r="U347" s="161"/>
      <c r="V347" s="161"/>
      <c r="W347" s="161"/>
      <c r="X347" s="161"/>
      <c r="Y347" s="161"/>
      <c r="Z347" s="161"/>
      <c r="AA347" s="161"/>
      <c r="AB347" s="161"/>
      <c r="AC347" s="161"/>
      <c r="AD347" s="161"/>
      <c r="AE347" s="161"/>
      <c r="AF347" s="161"/>
      <c r="AG347" s="161"/>
      <c r="AH347" s="161"/>
      <c r="AI347" s="161"/>
      <c r="AJ347" s="161"/>
      <c r="AK347" s="161"/>
      <c r="AL347" s="161"/>
      <c r="AM347" s="161"/>
      <c r="AN347" s="161"/>
      <c r="AO347" s="161"/>
      <c r="AP347" s="161"/>
      <c r="AQ347" s="161"/>
      <c r="AR347" s="161"/>
      <c r="AS347" s="161"/>
      <c r="AT347" s="161"/>
      <c r="AU347" s="161"/>
      <c r="AV347" s="161"/>
      <c r="AW347" s="161"/>
      <c r="AX347" s="161"/>
      <c r="AY347" s="161"/>
      <c r="AZ347" s="161"/>
      <c r="BA347" s="161"/>
      <c r="BB347" s="161"/>
      <c r="BC347" s="161"/>
      <c r="BD347" s="161"/>
      <c r="BE347" s="161"/>
      <c r="BF347" s="161"/>
      <c r="BG347" s="161"/>
      <c r="BH347" s="161"/>
      <c r="BI347" s="161"/>
      <c r="BJ347" s="161"/>
      <c r="BK347" s="161"/>
      <c r="BL347" s="161"/>
      <c r="BM347" s="161"/>
      <c r="BN347" s="161"/>
      <c r="BO347" s="161"/>
      <c r="BP347" s="161"/>
      <c r="BQ347" s="161"/>
      <c r="BR347" s="161"/>
      <c r="BS347" s="161"/>
      <c r="BT347" s="161"/>
      <c r="BU347" s="161"/>
      <c r="BV347" s="161"/>
      <c r="BW347" s="161"/>
      <c r="BX347" s="161"/>
      <c r="BY347" s="161"/>
      <c r="BZ347" s="161"/>
      <c r="CA347" s="161"/>
      <c r="CB347" s="161"/>
      <c r="CC347" s="161"/>
    </row>
    <row r="348" spans="1:81">
      <c r="A348" s="850"/>
      <c r="B348" s="4156" t="s">
        <v>334</v>
      </c>
      <c r="C348" s="4088"/>
      <c r="D348" s="922"/>
      <c r="E348" s="661">
        <f>SUM(E349:E352)</f>
        <v>18500330</v>
      </c>
      <c r="F348" s="661">
        <f t="shared" ref="F348" si="151">SUM(F349:F352)</f>
        <v>18072605</v>
      </c>
      <c r="G348" s="662">
        <f>SUM(G349:G352)</f>
        <v>11219090</v>
      </c>
      <c r="H348" s="559">
        <f t="shared" si="147"/>
        <v>0.60642647996008725</v>
      </c>
      <c r="I348" s="661">
        <f>SUM(I349:I352)</f>
        <v>0</v>
      </c>
      <c r="J348" s="292">
        <f t="shared" ref="J348" si="152">SUM(J349:J352)</f>
        <v>11219090</v>
      </c>
      <c r="K348" s="419">
        <f t="shared" si="144"/>
        <v>0.62077879752254861</v>
      </c>
      <c r="L348" s="294"/>
    </row>
    <row r="349" spans="1:81" ht="54" customHeight="1">
      <c r="A349" s="850"/>
      <c r="B349" s="932"/>
      <c r="C349" s="923" t="s">
        <v>526</v>
      </c>
      <c r="D349" s="921">
        <v>6209</v>
      </c>
      <c r="E349" s="206">
        <v>403000</v>
      </c>
      <c r="F349" s="207">
        <v>230042</v>
      </c>
      <c r="G349" s="208">
        <v>0</v>
      </c>
      <c r="H349" s="209">
        <f t="shared" si="147"/>
        <v>0</v>
      </c>
      <c r="I349" s="252">
        <v>0</v>
      </c>
      <c r="J349" s="479">
        <f t="shared" si="150"/>
        <v>0</v>
      </c>
      <c r="K349" s="212">
        <f t="shared" si="144"/>
        <v>0</v>
      </c>
      <c r="L349" s="300"/>
      <c r="N349" s="404"/>
    </row>
    <row r="350" spans="1:81" ht="51" hidden="1" customHeight="1">
      <c r="A350" s="850"/>
      <c r="B350" s="933"/>
      <c r="C350" s="923" t="s">
        <v>517</v>
      </c>
      <c r="D350" s="921">
        <v>6257</v>
      </c>
      <c r="E350" s="206">
        <v>0</v>
      </c>
      <c r="F350" s="207">
        <v>0</v>
      </c>
      <c r="G350" s="208">
        <v>0</v>
      </c>
      <c r="H350" s="209" t="e">
        <f t="shared" si="147"/>
        <v>#DIV/0!</v>
      </c>
      <c r="I350" s="252"/>
      <c r="J350" s="211"/>
      <c r="K350" s="212" t="e">
        <f t="shared" si="144"/>
        <v>#DIV/0!</v>
      </c>
      <c r="L350" s="300"/>
    </row>
    <row r="351" spans="1:81" ht="49.5" customHeight="1" thickBot="1">
      <c r="A351" s="850"/>
      <c r="B351" s="934"/>
      <c r="C351" s="412" t="s">
        <v>527</v>
      </c>
      <c r="D351" s="935">
        <v>6258</v>
      </c>
      <c r="E351" s="414">
        <v>18097330</v>
      </c>
      <c r="F351" s="782">
        <v>17842563</v>
      </c>
      <c r="G351" s="354">
        <v>11219090</v>
      </c>
      <c r="H351" s="355">
        <f t="shared" si="147"/>
        <v>0.6199306748564567</v>
      </c>
      <c r="I351" s="356">
        <v>0</v>
      </c>
      <c r="J351" s="479">
        <f t="shared" si="150"/>
        <v>11219090</v>
      </c>
      <c r="K351" s="212">
        <f t="shared" si="144"/>
        <v>0.62878242324266975</v>
      </c>
      <c r="L351" s="369"/>
      <c r="N351" s="404"/>
    </row>
    <row r="352" spans="1:81" ht="51.75" hidden="1" customHeight="1" thickBot="1">
      <c r="A352" s="850"/>
      <c r="B352" s="936"/>
      <c r="C352" s="937" t="s">
        <v>525</v>
      </c>
      <c r="D352" s="938">
        <v>6259</v>
      </c>
      <c r="E352" s="229"/>
      <c r="F352" s="533"/>
      <c r="G352" s="285"/>
      <c r="H352" s="613" t="e">
        <f t="shared" si="147"/>
        <v>#DIV/0!</v>
      </c>
      <c r="I352" s="614"/>
      <c r="J352" s="615"/>
      <c r="K352" s="234" t="e">
        <f t="shared" si="144"/>
        <v>#DIV/0!</v>
      </c>
      <c r="L352" s="288"/>
    </row>
    <row r="353" spans="1:81" s="939" customFormat="1" ht="28.5" customHeight="1" thickBot="1">
      <c r="A353" s="850"/>
      <c r="B353" s="853">
        <v>75865</v>
      </c>
      <c r="C353" s="854" t="s">
        <v>528</v>
      </c>
      <c r="D353" s="855"/>
      <c r="E353" s="236">
        <f>SUM(E354,E357)</f>
        <v>0</v>
      </c>
      <c r="F353" s="236">
        <f>SUM(F354,F357)</f>
        <v>0</v>
      </c>
      <c r="G353" s="237">
        <f>SUM(G354,G357)</f>
        <v>17000000</v>
      </c>
      <c r="H353" s="555"/>
      <c r="I353" s="236">
        <f>SUM(I354,I357)</f>
        <v>0</v>
      </c>
      <c r="J353" s="237">
        <f>SUM(J354,J357)</f>
        <v>17000000</v>
      </c>
      <c r="K353" s="238"/>
      <c r="L353" s="290"/>
    </row>
    <row r="354" spans="1:81" s="940" customFormat="1" ht="15" customHeight="1">
      <c r="A354" s="850"/>
      <c r="B354" s="4045" t="s">
        <v>288</v>
      </c>
      <c r="C354" s="4082"/>
      <c r="D354" s="927"/>
      <c r="E354" s="240">
        <f>SUM(E355)</f>
        <v>0</v>
      </c>
      <c r="F354" s="240">
        <f>SUM(F355:F356)</f>
        <v>0</v>
      </c>
      <c r="G354" s="201">
        <f>SUM(G355:G356)</f>
        <v>16000000</v>
      </c>
      <c r="H354" s="559"/>
      <c r="I354" s="240">
        <f>SUM(I355)</f>
        <v>0</v>
      </c>
      <c r="J354" s="241">
        <f>SUM(J355:J356)</f>
        <v>16000000</v>
      </c>
      <c r="K354" s="203"/>
      <c r="L354" s="294"/>
    </row>
    <row r="355" spans="1:81" s="941" customFormat="1" ht="25.5">
      <c r="A355" s="850"/>
      <c r="B355" s="4091"/>
      <c r="C355" s="928" t="s">
        <v>529</v>
      </c>
      <c r="D355" s="929">
        <v>2058</v>
      </c>
      <c r="E355" s="206">
        <v>0</v>
      </c>
      <c r="F355" s="207">
        <v>0</v>
      </c>
      <c r="G355" s="208">
        <v>16000000</v>
      </c>
      <c r="H355" s="209"/>
      <c r="I355" s="252">
        <v>0</v>
      </c>
      <c r="J355" s="479">
        <f t="shared" ref="J355" si="153">SUM(G355,I355)</f>
        <v>16000000</v>
      </c>
      <c r="K355" s="212"/>
      <c r="L355" s="300"/>
      <c r="M355" s="939"/>
      <c r="N355" s="939"/>
      <c r="O355" s="939"/>
      <c r="P355" s="939"/>
      <c r="Q355" s="939"/>
      <c r="R355" s="939"/>
      <c r="S355" s="939"/>
      <c r="T355" s="939"/>
      <c r="U355" s="939"/>
      <c r="V355" s="939"/>
      <c r="W355" s="939"/>
      <c r="X355" s="939"/>
      <c r="Y355" s="939"/>
      <c r="Z355" s="939"/>
      <c r="AA355" s="939"/>
      <c r="AB355" s="939"/>
      <c r="AC355" s="939"/>
      <c r="AD355" s="939"/>
      <c r="AE355" s="939"/>
      <c r="AF355" s="939"/>
      <c r="AG355" s="939"/>
      <c r="AH355" s="939"/>
      <c r="AI355" s="939"/>
      <c r="AJ355" s="939"/>
      <c r="AK355" s="939"/>
      <c r="AL355" s="939"/>
      <c r="AM355" s="939"/>
      <c r="AN355" s="939"/>
      <c r="AO355" s="939"/>
      <c r="AP355" s="939"/>
      <c r="AQ355" s="939"/>
      <c r="AR355" s="939"/>
      <c r="AS355" s="939"/>
      <c r="AT355" s="939"/>
      <c r="AU355" s="939"/>
      <c r="AV355" s="939"/>
      <c r="AW355" s="939"/>
      <c r="AX355" s="939"/>
      <c r="AY355" s="939"/>
      <c r="AZ355" s="939"/>
      <c r="BA355" s="939"/>
      <c r="BB355" s="939"/>
      <c r="BC355" s="939"/>
      <c r="BD355" s="939"/>
      <c r="BE355" s="939"/>
      <c r="BF355" s="939"/>
      <c r="BG355" s="939"/>
      <c r="BH355" s="939"/>
      <c r="BI355" s="939"/>
      <c r="BJ355" s="939"/>
      <c r="BK355" s="939"/>
      <c r="BL355" s="939"/>
      <c r="BM355" s="939"/>
      <c r="BN355" s="939"/>
      <c r="BO355" s="939"/>
      <c r="BP355" s="939"/>
      <c r="BQ355" s="939"/>
      <c r="BR355" s="939"/>
      <c r="BS355" s="939"/>
      <c r="BT355" s="939"/>
      <c r="BU355" s="939"/>
      <c r="BV355" s="939"/>
      <c r="BW355" s="939"/>
      <c r="BX355" s="939"/>
      <c r="BY355" s="939"/>
      <c r="BZ355" s="939"/>
      <c r="CA355" s="939"/>
      <c r="CB355" s="939"/>
      <c r="CC355" s="939"/>
    </row>
    <row r="356" spans="1:81" s="942" customFormat="1" ht="51.75" hidden="1" customHeight="1" thickBot="1">
      <c r="A356" s="850"/>
      <c r="B356" s="4091"/>
      <c r="C356" s="928" t="s">
        <v>525</v>
      </c>
      <c r="D356" s="935"/>
      <c r="E356" s="414"/>
      <c r="F356" s="782"/>
      <c r="G356" s="354"/>
      <c r="H356" s="209"/>
      <c r="I356" s="426"/>
      <c r="J356" s="636"/>
      <c r="K356" s="212"/>
      <c r="L356" s="369"/>
      <c r="M356" s="939"/>
      <c r="N356" s="939"/>
      <c r="O356" s="939"/>
      <c r="P356" s="939"/>
      <c r="Q356" s="939"/>
      <c r="R356" s="939"/>
      <c r="S356" s="939"/>
      <c r="T356" s="939"/>
      <c r="U356" s="939"/>
      <c r="V356" s="939"/>
      <c r="W356" s="939"/>
      <c r="X356" s="939"/>
      <c r="Y356" s="939"/>
      <c r="Z356" s="939"/>
      <c r="AA356" s="939"/>
      <c r="AB356" s="939"/>
      <c r="AC356" s="939"/>
      <c r="AD356" s="939"/>
      <c r="AE356" s="939"/>
      <c r="AF356" s="939"/>
      <c r="AG356" s="939"/>
      <c r="AH356" s="939"/>
      <c r="AI356" s="939"/>
      <c r="AJ356" s="939"/>
      <c r="AK356" s="939"/>
      <c r="AL356" s="939"/>
      <c r="AM356" s="939"/>
      <c r="AN356" s="939"/>
      <c r="AO356" s="939"/>
      <c r="AP356" s="939"/>
      <c r="AQ356" s="939"/>
      <c r="AR356" s="939"/>
      <c r="AS356" s="939"/>
      <c r="AT356" s="939"/>
      <c r="AU356" s="939"/>
      <c r="AV356" s="939"/>
      <c r="AW356" s="939"/>
      <c r="AX356" s="939"/>
      <c r="AY356" s="939"/>
      <c r="AZ356" s="939"/>
      <c r="BA356" s="939"/>
      <c r="BB356" s="939"/>
      <c r="BC356" s="939"/>
      <c r="BD356" s="939"/>
      <c r="BE356" s="939"/>
      <c r="BF356" s="939"/>
      <c r="BG356" s="939"/>
      <c r="BH356" s="939"/>
      <c r="BI356" s="939"/>
      <c r="BJ356" s="939"/>
      <c r="BK356" s="939"/>
      <c r="BL356" s="939"/>
      <c r="BM356" s="939"/>
      <c r="BN356" s="939"/>
      <c r="BO356" s="939"/>
      <c r="BP356" s="939"/>
      <c r="BQ356" s="939"/>
      <c r="BR356" s="939"/>
      <c r="BS356" s="939"/>
      <c r="BT356" s="939"/>
      <c r="BU356" s="939"/>
      <c r="BV356" s="939"/>
      <c r="BW356" s="939"/>
      <c r="BX356" s="939"/>
      <c r="BY356" s="939"/>
      <c r="BZ356" s="939"/>
      <c r="CA356" s="939"/>
      <c r="CB356" s="939"/>
      <c r="CC356" s="939"/>
    </row>
    <row r="357" spans="1:81" s="939" customFormat="1">
      <c r="A357" s="850"/>
      <c r="B357" s="4157" t="s">
        <v>334</v>
      </c>
      <c r="C357" s="4158"/>
      <c r="D357" s="922"/>
      <c r="E357" s="661">
        <f>SUM(E359)</f>
        <v>0</v>
      </c>
      <c r="F357" s="661">
        <f t="shared" ref="F357:G357" si="154">SUM(F359)</f>
        <v>0</v>
      </c>
      <c r="G357" s="661">
        <f t="shared" si="154"/>
        <v>1000000</v>
      </c>
      <c r="H357" s="418"/>
      <c r="I357" s="661">
        <f>SUM(I359)</f>
        <v>0</v>
      </c>
      <c r="J357" s="326">
        <f t="shared" ref="J357" si="155">SUM(J359)</f>
        <v>1000000</v>
      </c>
      <c r="K357" s="419"/>
      <c r="L357" s="294"/>
    </row>
    <row r="358" spans="1:81" s="939" customFormat="1" ht="51" hidden="1" customHeight="1">
      <c r="A358" s="850"/>
      <c r="B358" s="933"/>
      <c r="C358" s="923" t="s">
        <v>517</v>
      </c>
      <c r="D358" s="921">
        <v>6257</v>
      </c>
      <c r="E358" s="206">
        <v>0</v>
      </c>
      <c r="F358" s="207">
        <v>0</v>
      </c>
      <c r="G358" s="208">
        <v>0</v>
      </c>
      <c r="H358" s="209" t="e">
        <f t="shared" ref="H358" si="156">G358/E358</f>
        <v>#DIV/0!</v>
      </c>
      <c r="I358" s="252"/>
      <c r="J358" s="211"/>
      <c r="K358" s="212"/>
      <c r="L358" s="300"/>
    </row>
    <row r="359" spans="1:81" s="939" customFormat="1" ht="30" customHeight="1" thickBot="1">
      <c r="A359" s="905"/>
      <c r="B359" s="934"/>
      <c r="C359" s="412" t="s">
        <v>529</v>
      </c>
      <c r="D359" s="935">
        <v>6258</v>
      </c>
      <c r="E359" s="414">
        <v>0</v>
      </c>
      <c r="F359" s="782">
        <v>0</v>
      </c>
      <c r="G359" s="354">
        <v>1000000</v>
      </c>
      <c r="H359" s="355"/>
      <c r="I359" s="356">
        <v>0</v>
      </c>
      <c r="J359" s="592">
        <f t="shared" ref="J359" si="157">SUM(G359,I359)</f>
        <v>1000000</v>
      </c>
      <c r="K359" s="358"/>
      <c r="L359" s="369"/>
      <c r="N359" s="943"/>
    </row>
    <row r="360" spans="1:81" ht="15.75" thickBot="1">
      <c r="A360" s="944">
        <v>801</v>
      </c>
      <c r="B360" s="945"/>
      <c r="C360" s="946" t="s">
        <v>530</v>
      </c>
      <c r="D360" s="947"/>
      <c r="E360" s="321">
        <f>SUM(E361,E366,E370,E380,E397,E408,E412)</f>
        <v>104692</v>
      </c>
      <c r="F360" s="321">
        <f>SUM(F361,F366,F370,F380,F397,F408,F412)</f>
        <v>2018112</v>
      </c>
      <c r="G360" s="322">
        <f>SUM(G361,G366,G370,G380,G397,G408,G412)</f>
        <v>218454</v>
      </c>
      <c r="H360" s="574">
        <f t="shared" si="147"/>
        <v>2.0866350819546859</v>
      </c>
      <c r="I360" s="321">
        <f>SUM(I361,I366,I370,I380,I397,I408,I412)</f>
        <v>197352</v>
      </c>
      <c r="J360" s="322">
        <f>SUM(J361,J366,J370,J380,J397,J408,J412)</f>
        <v>415806</v>
      </c>
      <c r="K360" s="187">
        <f t="shared" si="144"/>
        <v>0.20603712777090666</v>
      </c>
      <c r="L360" s="832"/>
    </row>
    <row r="361" spans="1:81" ht="15.75" thickBot="1">
      <c r="A361" s="948"/>
      <c r="B361" s="907">
        <v>80102</v>
      </c>
      <c r="C361" s="949" t="s">
        <v>531</v>
      </c>
      <c r="D361" s="950"/>
      <c r="E361" s="314">
        <f t="shared" ref="E361:G361" si="158">SUM(E362,E365)</f>
        <v>2500</v>
      </c>
      <c r="F361" s="314">
        <f t="shared" si="158"/>
        <v>2500</v>
      </c>
      <c r="G361" s="315">
        <f t="shared" si="158"/>
        <v>2500</v>
      </c>
      <c r="H361" s="555">
        <f t="shared" si="147"/>
        <v>1</v>
      </c>
      <c r="I361" s="314">
        <f t="shared" ref="I361:J361" si="159">SUM(I362,I365)</f>
        <v>0</v>
      </c>
      <c r="J361" s="315">
        <f t="shared" si="159"/>
        <v>2500</v>
      </c>
      <c r="K361" s="196">
        <f t="shared" si="144"/>
        <v>1</v>
      </c>
      <c r="L361" s="290"/>
    </row>
    <row r="362" spans="1:81">
      <c r="A362" s="951"/>
      <c r="B362" s="4082" t="s">
        <v>288</v>
      </c>
      <c r="C362" s="4046"/>
      <c r="D362" s="952"/>
      <c r="E362" s="263">
        <f t="shared" ref="E362:F362" si="160">SUM(E363:E364)</f>
        <v>2500</v>
      </c>
      <c r="F362" s="263">
        <f t="shared" si="160"/>
        <v>2500</v>
      </c>
      <c r="G362" s="264">
        <f t="shared" ref="G362" si="161">SUM(G363:G364)</f>
        <v>2500</v>
      </c>
      <c r="H362" s="559">
        <f t="shared" si="147"/>
        <v>1</v>
      </c>
      <c r="I362" s="263">
        <f t="shared" ref="I362:J362" si="162">SUM(I363:I364)</f>
        <v>0</v>
      </c>
      <c r="J362" s="241">
        <f t="shared" si="162"/>
        <v>2500</v>
      </c>
      <c r="K362" s="203">
        <f t="shared" si="144"/>
        <v>1</v>
      </c>
      <c r="L362" s="294"/>
    </row>
    <row r="363" spans="1:81">
      <c r="A363" s="951"/>
      <c r="B363" s="4159"/>
      <c r="C363" s="953" t="s">
        <v>532</v>
      </c>
      <c r="D363" s="406" t="s">
        <v>292</v>
      </c>
      <c r="E363" s="206">
        <v>2500</v>
      </c>
      <c r="F363" s="207">
        <v>2500</v>
      </c>
      <c r="G363" s="208">
        <v>2500</v>
      </c>
      <c r="H363" s="209">
        <f t="shared" si="147"/>
        <v>1</v>
      </c>
      <c r="I363" s="252">
        <v>0</v>
      </c>
      <c r="J363" s="479">
        <f t="shared" ref="J363" si="163">SUM(G363,I363)</f>
        <v>2500</v>
      </c>
      <c r="K363" s="212">
        <f t="shared" si="144"/>
        <v>1</v>
      </c>
      <c r="L363" s="300"/>
    </row>
    <row r="364" spans="1:81" ht="38.25" hidden="1" customHeight="1">
      <c r="A364" s="951"/>
      <c r="B364" s="4160"/>
      <c r="C364" s="954" t="s">
        <v>533</v>
      </c>
      <c r="D364" s="214" t="s">
        <v>534</v>
      </c>
      <c r="E364" s="401"/>
      <c r="F364" s="207"/>
      <c r="G364" s="208"/>
      <c r="H364" s="209" t="e">
        <f t="shared" si="147"/>
        <v>#DIV/0!</v>
      </c>
      <c r="I364" s="252"/>
      <c r="J364" s="211"/>
      <c r="K364" s="212" t="e">
        <f t="shared" si="144"/>
        <v>#DIV/0!</v>
      </c>
      <c r="L364" s="297"/>
    </row>
    <row r="365" spans="1:81" ht="15.75" thickBot="1">
      <c r="A365" s="955"/>
      <c r="B365" s="4071" t="s">
        <v>293</v>
      </c>
      <c r="C365" s="4145"/>
      <c r="D365" s="956"/>
      <c r="E365" s="277">
        <v>0</v>
      </c>
      <c r="F365" s="277">
        <v>0</v>
      </c>
      <c r="G365" s="257">
        <v>0</v>
      </c>
      <c r="H365" s="602"/>
      <c r="I365" s="277">
        <v>0</v>
      </c>
      <c r="J365" s="957">
        <v>0</v>
      </c>
      <c r="K365" s="554"/>
      <c r="L365" s="420"/>
    </row>
    <row r="366" spans="1:81" ht="15.75" hidden="1" customHeight="1">
      <c r="A366" s="951"/>
      <c r="B366" s="958">
        <v>80116</v>
      </c>
      <c r="C366" s="959" t="s">
        <v>535</v>
      </c>
      <c r="D366" s="959"/>
      <c r="E366" s="960">
        <v>0</v>
      </c>
      <c r="F366" s="533"/>
      <c r="G366" s="534"/>
      <c r="H366" s="626" t="e">
        <f t="shared" si="147"/>
        <v>#DIV/0!</v>
      </c>
      <c r="I366" s="960">
        <v>0</v>
      </c>
      <c r="J366" s="961">
        <v>0</v>
      </c>
      <c r="K366" s="375" t="e">
        <f t="shared" si="144"/>
        <v>#DIV/0!</v>
      </c>
      <c r="L366" s="247"/>
    </row>
    <row r="367" spans="1:81" ht="15" hidden="1" customHeight="1" thickBot="1">
      <c r="A367" s="951"/>
      <c r="B367" s="4103" t="s">
        <v>288</v>
      </c>
      <c r="C367" s="4154"/>
      <c r="D367" s="962"/>
      <c r="E367" s="628">
        <v>0</v>
      </c>
      <c r="F367" s="230"/>
      <c r="G367" s="231"/>
      <c r="H367" s="209" t="e">
        <f t="shared" si="147"/>
        <v>#DIV/0!</v>
      </c>
      <c r="I367" s="628">
        <v>0</v>
      </c>
      <c r="J367" s="963">
        <v>0</v>
      </c>
      <c r="K367" s="212" t="e">
        <f t="shared" si="144"/>
        <v>#DIV/0!</v>
      </c>
      <c r="L367" s="247"/>
    </row>
    <row r="368" spans="1:81" ht="30" hidden="1" customHeight="1" thickBot="1">
      <c r="A368" s="951"/>
      <c r="B368" s="964"/>
      <c r="C368" s="965" t="s">
        <v>536</v>
      </c>
      <c r="D368" s="966" t="s">
        <v>537</v>
      </c>
      <c r="E368" s="632">
        <v>0</v>
      </c>
      <c r="F368" s="230"/>
      <c r="G368" s="231"/>
      <c r="H368" s="209" t="e">
        <f t="shared" si="147"/>
        <v>#DIV/0!</v>
      </c>
      <c r="I368" s="632">
        <v>0</v>
      </c>
      <c r="J368" s="967">
        <v>0</v>
      </c>
      <c r="K368" s="212" t="e">
        <f t="shared" si="144"/>
        <v>#DIV/0!</v>
      </c>
      <c r="L368" s="247"/>
    </row>
    <row r="369" spans="1:12" ht="15.75" hidden="1" customHeight="1" thickBot="1">
      <c r="A369" s="951"/>
      <c r="B369" s="4147" t="s">
        <v>293</v>
      </c>
      <c r="C369" s="4155"/>
      <c r="D369" s="962"/>
      <c r="E369" s="892">
        <v>0</v>
      </c>
      <c r="F369" s="540"/>
      <c r="G369" s="541"/>
      <c r="H369" s="635" t="e">
        <f t="shared" si="147"/>
        <v>#DIV/0!</v>
      </c>
      <c r="I369" s="892">
        <v>0</v>
      </c>
      <c r="J369" s="968">
        <v>0</v>
      </c>
      <c r="K369" s="234" t="e">
        <f t="shared" si="144"/>
        <v>#DIV/0!</v>
      </c>
      <c r="L369" s="235"/>
    </row>
    <row r="370" spans="1:12" ht="15.75" thickBot="1">
      <c r="A370" s="948"/>
      <c r="B370" s="907">
        <v>80130</v>
      </c>
      <c r="C370" s="950" t="s">
        <v>538</v>
      </c>
      <c r="D370" s="950"/>
      <c r="E370" s="236">
        <f>SUM(E371,E379)</f>
        <v>6350</v>
      </c>
      <c r="F370" s="236">
        <f>SUM(F371,F379)</f>
        <v>34120</v>
      </c>
      <c r="G370" s="237">
        <f>SUM(G371,G379)</f>
        <v>6475</v>
      </c>
      <c r="H370" s="555">
        <f t="shared" si="147"/>
        <v>1.0196850393700787</v>
      </c>
      <c r="I370" s="236">
        <f>SUM(I371,I379)</f>
        <v>0</v>
      </c>
      <c r="J370" s="237">
        <f>SUM(J371,J379)</f>
        <v>6475</v>
      </c>
      <c r="K370" s="238">
        <f t="shared" si="144"/>
        <v>0.18977139507620164</v>
      </c>
      <c r="L370" s="197"/>
    </row>
    <row r="371" spans="1:12">
      <c r="A371" s="951"/>
      <c r="B371" s="4045" t="s">
        <v>288</v>
      </c>
      <c r="C371" s="4046"/>
      <c r="D371" s="952"/>
      <c r="E371" s="263">
        <f>SUM(E372:E378)</f>
        <v>6350</v>
      </c>
      <c r="F371" s="263">
        <f>SUM(F372:F378)</f>
        <v>34120</v>
      </c>
      <c r="G371" s="264">
        <f>SUM(G372:G378)</f>
        <v>6475</v>
      </c>
      <c r="H371" s="559">
        <f t="shared" si="147"/>
        <v>1.0196850393700787</v>
      </c>
      <c r="I371" s="263">
        <f>SUM(I372:I378)</f>
        <v>0</v>
      </c>
      <c r="J371" s="241">
        <f>SUM(J372:J378)</f>
        <v>6475</v>
      </c>
      <c r="K371" s="203">
        <f t="shared" si="144"/>
        <v>0.18977139507620164</v>
      </c>
      <c r="L371" s="204"/>
    </row>
    <row r="372" spans="1:12" ht="16.5" hidden="1" customHeight="1">
      <c r="A372" s="951"/>
      <c r="B372" s="909"/>
      <c r="C372" s="4086" t="s">
        <v>532</v>
      </c>
      <c r="D372" s="205" t="s">
        <v>290</v>
      </c>
      <c r="E372" s="653">
        <v>0</v>
      </c>
      <c r="F372" s="207">
        <v>0</v>
      </c>
      <c r="G372" s="208">
        <v>0</v>
      </c>
      <c r="H372" s="209" t="e">
        <f t="shared" si="147"/>
        <v>#DIV/0!</v>
      </c>
      <c r="I372" s="252"/>
      <c r="J372" s="211"/>
      <c r="K372" s="212" t="e">
        <f t="shared" si="144"/>
        <v>#DIV/0!</v>
      </c>
      <c r="L372" s="247"/>
    </row>
    <row r="373" spans="1:12" ht="16.5" hidden="1" customHeight="1">
      <c r="A373" s="951"/>
      <c r="B373" s="916"/>
      <c r="C373" s="4107"/>
      <c r="D373" s="205" t="s">
        <v>291</v>
      </c>
      <c r="E373" s="653">
        <v>0</v>
      </c>
      <c r="F373" s="207">
        <v>0</v>
      </c>
      <c r="G373" s="208">
        <v>0</v>
      </c>
      <c r="H373" s="209" t="e">
        <f t="shared" si="147"/>
        <v>#DIV/0!</v>
      </c>
      <c r="I373" s="252"/>
      <c r="J373" s="211"/>
      <c r="K373" s="212" t="e">
        <f t="shared" si="144"/>
        <v>#DIV/0!</v>
      </c>
      <c r="L373" s="247"/>
    </row>
    <row r="374" spans="1:12" ht="16.5" hidden="1" customHeight="1">
      <c r="A374" s="951"/>
      <c r="B374" s="916"/>
      <c r="C374" s="4107"/>
      <c r="D374" s="205" t="s">
        <v>314</v>
      </c>
      <c r="E374" s="867">
        <v>0</v>
      </c>
      <c r="F374" s="207">
        <v>0</v>
      </c>
      <c r="G374" s="208">
        <v>0</v>
      </c>
      <c r="H374" s="209" t="e">
        <f t="shared" si="147"/>
        <v>#DIV/0!</v>
      </c>
      <c r="I374" s="252"/>
      <c r="J374" s="211"/>
      <c r="K374" s="212" t="e">
        <f t="shared" si="144"/>
        <v>#DIV/0!</v>
      </c>
      <c r="L374" s="247"/>
    </row>
    <row r="375" spans="1:12" ht="15" customHeight="1">
      <c r="A375" s="951"/>
      <c r="B375" s="916"/>
      <c r="C375" s="4087"/>
      <c r="D375" s="205" t="s">
        <v>292</v>
      </c>
      <c r="E375" s="206">
        <v>6350</v>
      </c>
      <c r="F375" s="207">
        <v>6350</v>
      </c>
      <c r="G375" s="208">
        <v>6475</v>
      </c>
      <c r="H375" s="209">
        <f t="shared" si="147"/>
        <v>1.0196850393700787</v>
      </c>
      <c r="I375" s="252">
        <v>0</v>
      </c>
      <c r="J375" s="479">
        <f t="shared" ref="J375:J377" si="164">SUM(G375,I375)</f>
        <v>6475</v>
      </c>
      <c r="K375" s="212">
        <f t="shared" si="144"/>
        <v>1.0196850393700787</v>
      </c>
      <c r="L375" s="253"/>
    </row>
    <row r="376" spans="1:12" ht="44.25" customHeight="1">
      <c r="A376" s="951"/>
      <c r="B376" s="916"/>
      <c r="C376" s="969" t="s">
        <v>539</v>
      </c>
      <c r="D376" s="205" t="s">
        <v>446</v>
      </c>
      <c r="E376" s="206">
        <v>0</v>
      </c>
      <c r="F376" s="207">
        <v>26184</v>
      </c>
      <c r="G376" s="208">
        <v>0</v>
      </c>
      <c r="H376" s="209"/>
      <c r="I376" s="252">
        <v>0</v>
      </c>
      <c r="J376" s="479">
        <f t="shared" si="164"/>
        <v>0</v>
      </c>
      <c r="K376" s="212">
        <f t="shared" si="144"/>
        <v>0</v>
      </c>
      <c r="L376" s="253"/>
    </row>
    <row r="377" spans="1:12" ht="45" customHeight="1">
      <c r="A377" s="951"/>
      <c r="B377" s="916"/>
      <c r="C377" s="970" t="s">
        <v>540</v>
      </c>
      <c r="D377" s="205" t="s">
        <v>448</v>
      </c>
      <c r="E377" s="206">
        <v>0</v>
      </c>
      <c r="F377" s="207">
        <v>1586</v>
      </c>
      <c r="G377" s="208">
        <v>0</v>
      </c>
      <c r="H377" s="209"/>
      <c r="I377" s="252">
        <v>0</v>
      </c>
      <c r="J377" s="479">
        <f t="shared" si="164"/>
        <v>0</v>
      </c>
      <c r="K377" s="212">
        <f t="shared" si="144"/>
        <v>0</v>
      </c>
      <c r="L377" s="253"/>
    </row>
    <row r="378" spans="1:12" ht="42" hidden="1" customHeight="1">
      <c r="A378" s="951"/>
      <c r="B378" s="971"/>
      <c r="C378" s="972" t="s">
        <v>533</v>
      </c>
      <c r="D378" s="205" t="s">
        <v>534</v>
      </c>
      <c r="E378" s="867">
        <v>0</v>
      </c>
      <c r="F378" s="207">
        <v>0</v>
      </c>
      <c r="G378" s="208">
        <v>0</v>
      </c>
      <c r="H378" s="209"/>
      <c r="I378" s="252"/>
      <c r="J378" s="211"/>
      <c r="K378" s="212" t="e">
        <f t="shared" si="144"/>
        <v>#DIV/0!</v>
      </c>
      <c r="L378" s="247"/>
    </row>
    <row r="379" spans="1:12" ht="15" customHeight="1" thickBot="1">
      <c r="A379" s="951"/>
      <c r="B379" s="4047" t="s">
        <v>293</v>
      </c>
      <c r="C379" s="4145"/>
      <c r="D379" s="973"/>
      <c r="E379" s="256">
        <v>0</v>
      </c>
      <c r="F379" s="256">
        <v>0</v>
      </c>
      <c r="G379" s="319">
        <v>0</v>
      </c>
      <c r="H379" s="567"/>
      <c r="I379" s="256">
        <v>0</v>
      </c>
      <c r="J379" s="601">
        <v>0</v>
      </c>
      <c r="K379" s="450"/>
      <c r="L379" s="259"/>
    </row>
    <row r="380" spans="1:12" ht="15" customHeight="1" thickBot="1">
      <c r="A380" s="951"/>
      <c r="B380" s="907">
        <v>80146</v>
      </c>
      <c r="C380" s="950" t="s">
        <v>541</v>
      </c>
      <c r="D380" s="950"/>
      <c r="E380" s="236">
        <f>SUM(E381,E396)</f>
        <v>64742</v>
      </c>
      <c r="F380" s="236">
        <f>SUM(F381,F396)</f>
        <v>1649915</v>
      </c>
      <c r="G380" s="237">
        <f>SUM(G381,G396)</f>
        <v>153135</v>
      </c>
      <c r="H380" s="555">
        <f t="shared" si="147"/>
        <v>2.3653115442834638</v>
      </c>
      <c r="I380" s="236">
        <f>SUM(I381,I396)</f>
        <v>0</v>
      </c>
      <c r="J380" s="237">
        <f>SUM(J381,J396)</f>
        <v>153135</v>
      </c>
      <c r="K380" s="238">
        <f t="shared" si="144"/>
        <v>9.2813872229781533E-2</v>
      </c>
      <c r="L380" s="197"/>
    </row>
    <row r="381" spans="1:12" ht="15" customHeight="1">
      <c r="A381" s="951"/>
      <c r="B381" s="4137" t="s">
        <v>288</v>
      </c>
      <c r="C381" s="4046"/>
      <c r="D381" s="974"/>
      <c r="E381" s="240">
        <f>SUM(E382:E395)</f>
        <v>64742</v>
      </c>
      <c r="F381" s="240">
        <f>SUM(F382:F395)</f>
        <v>1649915</v>
      </c>
      <c r="G381" s="241">
        <f>SUM(G382:G395)</f>
        <v>153135</v>
      </c>
      <c r="H381" s="559">
        <f t="shared" si="147"/>
        <v>2.3653115442834638</v>
      </c>
      <c r="I381" s="240">
        <f>SUM(I382:I395)</f>
        <v>0</v>
      </c>
      <c r="J381" s="241">
        <f>SUM(J382:J395)</f>
        <v>153135</v>
      </c>
      <c r="K381" s="203">
        <f t="shared" si="144"/>
        <v>9.2813872229781533E-2</v>
      </c>
      <c r="L381" s="204"/>
    </row>
    <row r="382" spans="1:12" ht="15" customHeight="1">
      <c r="A382" s="951"/>
      <c r="B382" s="975"/>
      <c r="C382" s="4086" t="s">
        <v>532</v>
      </c>
      <c r="D382" s="976" t="s">
        <v>290</v>
      </c>
      <c r="E382" s="206">
        <v>4657</v>
      </c>
      <c r="F382" s="207">
        <v>4657</v>
      </c>
      <c r="G382" s="208">
        <v>4657</v>
      </c>
      <c r="H382" s="209">
        <f t="shared" si="147"/>
        <v>1</v>
      </c>
      <c r="I382" s="252">
        <v>0</v>
      </c>
      <c r="J382" s="479">
        <f t="shared" ref="J382:J440" si="165">SUM(G382,I382)</f>
        <v>4657</v>
      </c>
      <c r="K382" s="212">
        <f t="shared" si="144"/>
        <v>1</v>
      </c>
      <c r="L382" s="253"/>
    </row>
    <row r="383" spans="1:12" ht="15" customHeight="1">
      <c r="A383" s="951"/>
      <c r="B383" s="977"/>
      <c r="C383" s="4087"/>
      <c r="D383" s="976" t="s">
        <v>292</v>
      </c>
      <c r="E383" s="206">
        <v>0</v>
      </c>
      <c r="F383" s="207">
        <v>0</v>
      </c>
      <c r="G383" s="208">
        <v>2835</v>
      </c>
      <c r="H383" s="209"/>
      <c r="I383" s="252">
        <v>0</v>
      </c>
      <c r="J383" s="479">
        <f t="shared" si="165"/>
        <v>2835</v>
      </c>
      <c r="K383" s="212"/>
      <c r="L383" s="253"/>
    </row>
    <row r="384" spans="1:12" ht="52.5" hidden="1" customHeight="1">
      <c r="A384" s="951"/>
      <c r="B384" s="977"/>
      <c r="C384" s="972" t="s">
        <v>542</v>
      </c>
      <c r="D384" s="978" t="s">
        <v>543</v>
      </c>
      <c r="E384" s="401">
        <v>0</v>
      </c>
      <c r="F384" s="408"/>
      <c r="G384" s="409"/>
      <c r="H384" s="209" t="e">
        <f t="shared" si="147"/>
        <v>#DIV/0!</v>
      </c>
      <c r="I384" s="215"/>
      <c r="J384" s="479">
        <f t="shared" si="165"/>
        <v>0</v>
      </c>
      <c r="K384" s="212" t="e">
        <f t="shared" si="144"/>
        <v>#DIV/0!</v>
      </c>
      <c r="L384" s="437"/>
    </row>
    <row r="385" spans="1:12" ht="66" hidden="1" customHeight="1">
      <c r="A385" s="951"/>
      <c r="B385" s="977"/>
      <c r="C385" s="972" t="s">
        <v>544</v>
      </c>
      <c r="D385" s="979" t="s">
        <v>459</v>
      </c>
      <c r="E385" s="206">
        <v>0</v>
      </c>
      <c r="F385" s="207"/>
      <c r="G385" s="208"/>
      <c r="H385" s="209" t="e">
        <f t="shared" si="147"/>
        <v>#DIV/0!</v>
      </c>
      <c r="I385" s="252"/>
      <c r="J385" s="479">
        <f t="shared" si="165"/>
        <v>0</v>
      </c>
      <c r="K385" s="212" t="e">
        <f t="shared" si="144"/>
        <v>#DIV/0!</v>
      </c>
      <c r="L385" s="253"/>
    </row>
    <row r="386" spans="1:12" ht="59.25" hidden="1" customHeight="1">
      <c r="A386" s="951"/>
      <c r="B386" s="977"/>
      <c r="C386" s="980" t="s">
        <v>545</v>
      </c>
      <c r="D386" s="4149" t="s">
        <v>446</v>
      </c>
      <c r="E386" s="206">
        <v>0</v>
      </c>
      <c r="F386" s="207"/>
      <c r="G386" s="208"/>
      <c r="H386" s="209" t="e">
        <f t="shared" si="147"/>
        <v>#DIV/0!</v>
      </c>
      <c r="I386" s="252"/>
      <c r="J386" s="479">
        <f t="shared" si="165"/>
        <v>0</v>
      </c>
      <c r="K386" s="212" t="e">
        <f t="shared" si="144"/>
        <v>#DIV/0!</v>
      </c>
      <c r="L386" s="253"/>
    </row>
    <row r="387" spans="1:12" ht="51" hidden="1" customHeight="1">
      <c r="A387" s="951"/>
      <c r="B387" s="977"/>
      <c r="C387" s="981" t="s">
        <v>546</v>
      </c>
      <c r="D387" s="4150"/>
      <c r="E387" s="414">
        <v>0</v>
      </c>
      <c r="F387" s="207"/>
      <c r="G387" s="208"/>
      <c r="H387" s="209" t="e">
        <f t="shared" si="147"/>
        <v>#DIV/0!</v>
      </c>
      <c r="I387" s="252"/>
      <c r="J387" s="479">
        <f t="shared" si="165"/>
        <v>0</v>
      </c>
      <c r="K387" s="212" t="e">
        <f t="shared" si="144"/>
        <v>#DIV/0!</v>
      </c>
      <c r="L387" s="253"/>
    </row>
    <row r="388" spans="1:12" ht="49.5" customHeight="1">
      <c r="A388" s="951"/>
      <c r="B388" s="977"/>
      <c r="C388" s="982" t="s">
        <v>547</v>
      </c>
      <c r="D388" s="4149" t="s">
        <v>446</v>
      </c>
      <c r="E388" s="401">
        <v>50850</v>
      </c>
      <c r="F388" s="207">
        <f>50850+83784</f>
        <v>134634</v>
      </c>
      <c r="G388" s="208">
        <v>18808</v>
      </c>
      <c r="H388" s="209">
        <f t="shared" si="147"/>
        <v>0.36987217305801379</v>
      </c>
      <c r="I388" s="252">
        <v>0</v>
      </c>
      <c r="J388" s="479">
        <f t="shared" si="165"/>
        <v>18808</v>
      </c>
      <c r="K388" s="212">
        <f t="shared" si="144"/>
        <v>0.13969725329411589</v>
      </c>
      <c r="L388" s="253"/>
    </row>
    <row r="389" spans="1:12" ht="51.75" customHeight="1">
      <c r="A389" s="951"/>
      <c r="B389" s="977"/>
      <c r="C389" s="917" t="s">
        <v>548</v>
      </c>
      <c r="D389" s="4150"/>
      <c r="E389" s="206">
        <v>0</v>
      </c>
      <c r="F389" s="207">
        <v>52043</v>
      </c>
      <c r="G389" s="208">
        <v>0</v>
      </c>
      <c r="H389" s="209"/>
      <c r="I389" s="252">
        <v>0</v>
      </c>
      <c r="J389" s="479">
        <f t="shared" si="165"/>
        <v>0</v>
      </c>
      <c r="K389" s="212">
        <f t="shared" si="144"/>
        <v>0</v>
      </c>
      <c r="L389" s="253"/>
    </row>
    <row r="390" spans="1:12" ht="50.25" customHeight="1">
      <c r="A390" s="951"/>
      <c r="B390" s="977"/>
      <c r="C390" s="982" t="s">
        <v>549</v>
      </c>
      <c r="D390" s="4150"/>
      <c r="E390" s="401">
        <v>0</v>
      </c>
      <c r="F390" s="408">
        <v>163889</v>
      </c>
      <c r="G390" s="409">
        <v>104449</v>
      </c>
      <c r="H390" s="209"/>
      <c r="I390" s="215">
        <v>0</v>
      </c>
      <c r="J390" s="479">
        <f t="shared" si="165"/>
        <v>104449</v>
      </c>
      <c r="K390" s="212">
        <f t="shared" si="144"/>
        <v>0.63731550012508464</v>
      </c>
      <c r="L390" s="437"/>
    </row>
    <row r="391" spans="1:12" ht="40.5" customHeight="1">
      <c r="A391" s="951"/>
      <c r="B391" s="977"/>
      <c r="C391" s="983" t="s">
        <v>550</v>
      </c>
      <c r="D391" s="4151" t="s">
        <v>448</v>
      </c>
      <c r="E391" s="206">
        <v>9235</v>
      </c>
      <c r="F391" s="207">
        <f>9235+15216</f>
        <v>24451</v>
      </c>
      <c r="G391" s="208">
        <v>3416</v>
      </c>
      <c r="H391" s="209">
        <f t="shared" si="147"/>
        <v>0.36989713048186246</v>
      </c>
      <c r="I391" s="252">
        <v>0</v>
      </c>
      <c r="J391" s="211">
        <f t="shared" si="165"/>
        <v>3416</v>
      </c>
      <c r="K391" s="212">
        <f t="shared" si="144"/>
        <v>0.1397079874033782</v>
      </c>
      <c r="L391" s="253"/>
    </row>
    <row r="392" spans="1:12" ht="90.75" customHeight="1">
      <c r="A392" s="951"/>
      <c r="B392" s="977"/>
      <c r="C392" s="917" t="s">
        <v>551</v>
      </c>
      <c r="D392" s="4152"/>
      <c r="E392" s="401">
        <v>0</v>
      </c>
      <c r="F392" s="207">
        <v>9707</v>
      </c>
      <c r="G392" s="208">
        <v>0</v>
      </c>
      <c r="H392" s="209"/>
      <c r="I392" s="252">
        <v>0</v>
      </c>
      <c r="J392" s="479">
        <f t="shared" si="165"/>
        <v>0</v>
      </c>
      <c r="K392" s="212">
        <f t="shared" si="144"/>
        <v>0</v>
      </c>
      <c r="L392" s="253"/>
    </row>
    <row r="393" spans="1:12" ht="40.5" customHeight="1">
      <c r="A393" s="951"/>
      <c r="B393" s="977"/>
      <c r="C393" s="984" t="s">
        <v>552</v>
      </c>
      <c r="D393" s="4153"/>
      <c r="E393" s="401">
        <v>0</v>
      </c>
      <c r="F393" s="207">
        <v>29764</v>
      </c>
      <c r="G393" s="208">
        <v>18970</v>
      </c>
      <c r="H393" s="209"/>
      <c r="I393" s="252">
        <v>0</v>
      </c>
      <c r="J393" s="479">
        <f t="shared" si="165"/>
        <v>18970</v>
      </c>
      <c r="K393" s="212">
        <f t="shared" ref="K393:K456" si="166">J393/F393</f>
        <v>0.63734713076199434</v>
      </c>
      <c r="L393" s="253"/>
    </row>
    <row r="394" spans="1:12" s="156" customFormat="1" ht="39.75" customHeight="1">
      <c r="A394" s="985"/>
      <c r="B394" s="986"/>
      <c r="C394" s="987" t="s">
        <v>455</v>
      </c>
      <c r="D394" s="979" t="s">
        <v>553</v>
      </c>
      <c r="E394" s="401">
        <v>0</v>
      </c>
      <c r="F394" s="408">
        <v>1230770</v>
      </c>
      <c r="G394" s="409">
        <v>0</v>
      </c>
      <c r="H394" s="626"/>
      <c r="I394" s="215">
        <v>0</v>
      </c>
      <c r="J394" s="479">
        <f t="shared" si="165"/>
        <v>0</v>
      </c>
      <c r="K394" s="212">
        <f t="shared" si="166"/>
        <v>0</v>
      </c>
      <c r="L394" s="410"/>
    </row>
    <row r="395" spans="1:12" ht="30" hidden="1" customHeight="1">
      <c r="A395" s="951"/>
      <c r="B395" s="988"/>
      <c r="C395" s="983" t="s">
        <v>533</v>
      </c>
      <c r="D395" s="205" t="s">
        <v>534</v>
      </c>
      <c r="E395" s="251">
        <v>0</v>
      </c>
      <c r="F395" s="581">
        <v>0</v>
      </c>
      <c r="G395" s="306">
        <v>0</v>
      </c>
      <c r="H395" s="209"/>
      <c r="I395" s="252"/>
      <c r="J395" s="211"/>
      <c r="K395" s="212" t="e">
        <f t="shared" si="166"/>
        <v>#DIV/0!</v>
      </c>
      <c r="L395" s="247"/>
    </row>
    <row r="396" spans="1:12" ht="15" customHeight="1" thickBot="1">
      <c r="A396" s="951"/>
      <c r="B396" s="4048" t="s">
        <v>293</v>
      </c>
      <c r="C396" s="4145"/>
      <c r="D396" s="989"/>
      <c r="E396" s="256">
        <v>0</v>
      </c>
      <c r="F396" s="256">
        <v>0</v>
      </c>
      <c r="G396" s="319">
        <v>0</v>
      </c>
      <c r="H396" s="567"/>
      <c r="I396" s="256">
        <v>0</v>
      </c>
      <c r="J396" s="601">
        <v>0</v>
      </c>
      <c r="K396" s="450"/>
      <c r="L396" s="259"/>
    </row>
    <row r="397" spans="1:12" s="156" customFormat="1" ht="18" customHeight="1" thickBot="1">
      <c r="A397" s="985"/>
      <c r="B397" s="907">
        <v>80147</v>
      </c>
      <c r="C397" s="950" t="s">
        <v>554</v>
      </c>
      <c r="D397" s="990"/>
      <c r="E397" s="658">
        <f>SUM(E407,E398)</f>
        <v>31100</v>
      </c>
      <c r="F397" s="658">
        <f>SUM(F407,F398)</f>
        <v>76697</v>
      </c>
      <c r="G397" s="237">
        <f>SUM(G407,G398)</f>
        <v>20495</v>
      </c>
      <c r="H397" s="555">
        <f t="shared" si="147"/>
        <v>0.65900321543408358</v>
      </c>
      <c r="I397" s="658">
        <f>SUM(I407,I398)</f>
        <v>0</v>
      </c>
      <c r="J397" s="659">
        <f>SUM(J407,J398)</f>
        <v>20495</v>
      </c>
      <c r="K397" s="238">
        <f t="shared" si="166"/>
        <v>0.26722036063992072</v>
      </c>
      <c r="L397" s="290"/>
    </row>
    <row r="398" spans="1:12" s="156" customFormat="1">
      <c r="A398" s="985"/>
      <c r="B398" s="4045" t="s">
        <v>288</v>
      </c>
      <c r="C398" s="4046"/>
      <c r="D398" s="952"/>
      <c r="E398" s="263">
        <f>SUM(E399:E406)</f>
        <v>31100</v>
      </c>
      <c r="F398" s="263">
        <f>SUM(F399:F406)</f>
        <v>76697</v>
      </c>
      <c r="G398" s="264">
        <f>SUM(G399:G406)</f>
        <v>20495</v>
      </c>
      <c r="H398" s="559">
        <f t="shared" si="147"/>
        <v>0.65900321543408358</v>
      </c>
      <c r="I398" s="263">
        <f>SUM(I399:I406)</f>
        <v>0</v>
      </c>
      <c r="J398" s="241">
        <f>SUM(J399:J406)</f>
        <v>20495</v>
      </c>
      <c r="K398" s="203">
        <f t="shared" si="166"/>
        <v>0.26722036063992072</v>
      </c>
      <c r="L398" s="294"/>
    </row>
    <row r="399" spans="1:12" s="156" customFormat="1" ht="15" customHeight="1">
      <c r="A399" s="985"/>
      <c r="B399" s="916"/>
      <c r="C399" s="4143" t="s">
        <v>555</v>
      </c>
      <c r="D399" s="205" t="s">
        <v>290</v>
      </c>
      <c r="E399" s="251">
        <v>0</v>
      </c>
      <c r="F399" s="207">
        <v>0</v>
      </c>
      <c r="G399" s="208">
        <v>11340</v>
      </c>
      <c r="H399" s="209"/>
      <c r="I399" s="252">
        <v>0</v>
      </c>
      <c r="J399" s="479">
        <f t="shared" si="165"/>
        <v>11340</v>
      </c>
      <c r="K399" s="212"/>
      <c r="L399" s="297"/>
    </row>
    <row r="400" spans="1:12" s="156" customFormat="1">
      <c r="A400" s="985"/>
      <c r="B400" s="916"/>
      <c r="C400" s="4144"/>
      <c r="D400" s="205" t="s">
        <v>291</v>
      </c>
      <c r="E400" s="206">
        <v>4000</v>
      </c>
      <c r="F400" s="207">
        <v>4000</v>
      </c>
      <c r="G400" s="208">
        <v>7732</v>
      </c>
      <c r="H400" s="209">
        <f t="shared" si="147"/>
        <v>1.9330000000000001</v>
      </c>
      <c r="I400" s="252">
        <v>0</v>
      </c>
      <c r="J400" s="479">
        <f t="shared" si="165"/>
        <v>7732</v>
      </c>
      <c r="K400" s="212">
        <f t="shared" si="166"/>
        <v>1.9330000000000001</v>
      </c>
      <c r="L400" s="300"/>
    </row>
    <row r="401" spans="1:12" s="156" customFormat="1">
      <c r="A401" s="985"/>
      <c r="B401" s="916"/>
      <c r="C401" s="4144"/>
      <c r="D401" s="205" t="s">
        <v>314</v>
      </c>
      <c r="E401" s="206">
        <v>500</v>
      </c>
      <c r="F401" s="207">
        <v>500</v>
      </c>
      <c r="G401" s="208">
        <v>0</v>
      </c>
      <c r="H401" s="209">
        <f t="shared" si="147"/>
        <v>0</v>
      </c>
      <c r="I401" s="252">
        <v>0</v>
      </c>
      <c r="J401" s="479">
        <f t="shared" si="165"/>
        <v>0</v>
      </c>
      <c r="K401" s="212">
        <f t="shared" si="166"/>
        <v>0</v>
      </c>
      <c r="L401" s="300"/>
    </row>
    <row r="402" spans="1:12" s="156" customFormat="1" ht="15" hidden="1" customHeight="1">
      <c r="A402" s="985"/>
      <c r="B402" s="916"/>
      <c r="C402" s="4144"/>
      <c r="D402" s="205" t="s">
        <v>299</v>
      </c>
      <c r="E402" s="206">
        <v>0</v>
      </c>
      <c r="F402" s="207"/>
      <c r="G402" s="208"/>
      <c r="H402" s="209" t="e">
        <f t="shared" si="147"/>
        <v>#DIV/0!</v>
      </c>
      <c r="I402" s="252"/>
      <c r="J402" s="479">
        <f t="shared" si="165"/>
        <v>0</v>
      </c>
      <c r="K402" s="212" t="e">
        <f t="shared" si="166"/>
        <v>#DIV/0!</v>
      </c>
      <c r="L402" s="300"/>
    </row>
    <row r="403" spans="1:12" s="156" customFormat="1">
      <c r="A403" s="985"/>
      <c r="B403" s="916"/>
      <c r="C403" s="4144"/>
      <c r="D403" s="205" t="s">
        <v>292</v>
      </c>
      <c r="E403" s="206">
        <v>26600</v>
      </c>
      <c r="F403" s="207">
        <v>26600</v>
      </c>
      <c r="G403" s="208">
        <v>1423</v>
      </c>
      <c r="H403" s="209">
        <f t="shared" si="147"/>
        <v>5.3496240601503757E-2</v>
      </c>
      <c r="I403" s="252">
        <v>0</v>
      </c>
      <c r="J403" s="479">
        <f t="shared" si="165"/>
        <v>1423</v>
      </c>
      <c r="K403" s="212">
        <f t="shared" si="166"/>
        <v>5.3496240601503757E-2</v>
      </c>
      <c r="L403" s="300"/>
    </row>
    <row r="404" spans="1:12" s="156" customFormat="1" ht="39" customHeight="1">
      <c r="A404" s="985"/>
      <c r="B404" s="916"/>
      <c r="C404" s="432" t="s">
        <v>556</v>
      </c>
      <c r="D404" s="205" t="s">
        <v>446</v>
      </c>
      <c r="E404" s="206">
        <v>0</v>
      </c>
      <c r="F404" s="207">
        <v>38429</v>
      </c>
      <c r="G404" s="208">
        <v>0</v>
      </c>
      <c r="H404" s="209"/>
      <c r="I404" s="252">
        <v>0</v>
      </c>
      <c r="J404" s="479">
        <f t="shared" si="165"/>
        <v>0</v>
      </c>
      <c r="K404" s="212">
        <f t="shared" si="166"/>
        <v>0</v>
      </c>
      <c r="L404" s="300"/>
    </row>
    <row r="405" spans="1:12" s="156" customFormat="1" ht="40.5" customHeight="1">
      <c r="A405" s="985"/>
      <c r="B405" s="971"/>
      <c r="C405" s="991" t="s">
        <v>557</v>
      </c>
      <c r="D405" s="214" t="s">
        <v>448</v>
      </c>
      <c r="E405" s="246">
        <v>0</v>
      </c>
      <c r="F405" s="408">
        <v>7168</v>
      </c>
      <c r="G405" s="409">
        <v>0</v>
      </c>
      <c r="H405" s="209"/>
      <c r="I405" s="215">
        <v>0</v>
      </c>
      <c r="J405" s="479">
        <f t="shared" si="165"/>
        <v>0</v>
      </c>
      <c r="K405" s="212">
        <f t="shared" si="166"/>
        <v>0</v>
      </c>
      <c r="L405" s="410"/>
    </row>
    <row r="406" spans="1:12" s="156" customFormat="1" ht="33" hidden="1" customHeight="1">
      <c r="A406" s="985"/>
      <c r="B406" s="971"/>
      <c r="C406" s="992" t="s">
        <v>533</v>
      </c>
      <c r="D406" s="205" t="s">
        <v>534</v>
      </c>
      <c r="E406" s="206">
        <v>0</v>
      </c>
      <c r="F406" s="207">
        <v>0</v>
      </c>
      <c r="G406" s="208">
        <v>0</v>
      </c>
      <c r="H406" s="209"/>
      <c r="I406" s="252"/>
      <c r="J406" s="211"/>
      <c r="K406" s="212" t="e">
        <f t="shared" si="166"/>
        <v>#DIV/0!</v>
      </c>
      <c r="L406" s="297"/>
    </row>
    <row r="407" spans="1:12" s="156" customFormat="1" ht="15.75" thickBot="1">
      <c r="A407" s="985"/>
      <c r="B407" s="4048" t="s">
        <v>293</v>
      </c>
      <c r="C407" s="4145"/>
      <c r="D407" s="989"/>
      <c r="E407" s="256">
        <v>0</v>
      </c>
      <c r="F407" s="256">
        <v>0</v>
      </c>
      <c r="G407" s="319">
        <v>0</v>
      </c>
      <c r="H407" s="430"/>
      <c r="I407" s="256">
        <v>0</v>
      </c>
      <c r="J407" s="601">
        <v>0</v>
      </c>
      <c r="K407" s="419"/>
      <c r="L407" s="420"/>
    </row>
    <row r="408" spans="1:12" ht="39" hidden="1" customHeight="1">
      <c r="A408" s="951"/>
      <c r="B408" s="993">
        <v>80153</v>
      </c>
      <c r="C408" s="994" t="s">
        <v>558</v>
      </c>
      <c r="D408" s="995"/>
      <c r="E408" s="996">
        <v>0</v>
      </c>
      <c r="F408" s="230"/>
      <c r="G408" s="231"/>
      <c r="H408" s="209"/>
      <c r="I408" s="996">
        <v>0</v>
      </c>
      <c r="J408" s="231"/>
      <c r="K408" s="212" t="e">
        <f t="shared" si="166"/>
        <v>#DIV/0!</v>
      </c>
      <c r="L408" s="247"/>
    </row>
    <row r="409" spans="1:12" ht="15" hidden="1" customHeight="1">
      <c r="A409" s="951"/>
      <c r="B409" s="4146" t="s">
        <v>288</v>
      </c>
      <c r="C409" s="4147"/>
      <c r="D409" s="902"/>
      <c r="E409" s="628">
        <v>0</v>
      </c>
      <c r="F409" s="230"/>
      <c r="G409" s="231"/>
      <c r="H409" s="209"/>
      <c r="I409" s="628">
        <v>0</v>
      </c>
      <c r="J409" s="231"/>
      <c r="K409" s="212" t="e">
        <f t="shared" si="166"/>
        <v>#DIV/0!</v>
      </c>
      <c r="L409" s="247"/>
    </row>
    <row r="410" spans="1:12" ht="38.25" hidden="1" customHeight="1" thickBot="1">
      <c r="A410" s="951"/>
      <c r="B410" s="997"/>
      <c r="C410" s="998" t="s">
        <v>315</v>
      </c>
      <c r="D410" s="999" t="s">
        <v>418</v>
      </c>
      <c r="E410" s="632">
        <v>0</v>
      </c>
      <c r="F410" s="230"/>
      <c r="G410" s="231"/>
      <c r="H410" s="209"/>
      <c r="I410" s="632">
        <v>0</v>
      </c>
      <c r="J410" s="231"/>
      <c r="K410" s="212" t="e">
        <f t="shared" si="166"/>
        <v>#DIV/0!</v>
      </c>
      <c r="L410" s="247"/>
    </row>
    <row r="411" spans="1:12" ht="15.75" hidden="1" customHeight="1" thickBot="1">
      <c r="A411" s="951"/>
      <c r="B411" s="4148" t="s">
        <v>293</v>
      </c>
      <c r="C411" s="4147"/>
      <c r="D411" s="902"/>
      <c r="E411" s="892">
        <v>0</v>
      </c>
      <c r="F411" s="230"/>
      <c r="G411" s="541"/>
      <c r="H411" s="635"/>
      <c r="I411" s="892">
        <v>0</v>
      </c>
      <c r="J411" s="231"/>
      <c r="K411" s="234" t="e">
        <f t="shared" si="166"/>
        <v>#DIV/0!</v>
      </c>
      <c r="L411" s="235"/>
    </row>
    <row r="412" spans="1:12" ht="15.75" thickBot="1">
      <c r="A412" s="951"/>
      <c r="B412" s="907">
        <v>80195</v>
      </c>
      <c r="C412" s="949" t="s">
        <v>312</v>
      </c>
      <c r="D412" s="950"/>
      <c r="E412" s="314">
        <f>SUM(E420,E413)</f>
        <v>0</v>
      </c>
      <c r="F412" s="314">
        <f>SUM(F420,F413)</f>
        <v>254880</v>
      </c>
      <c r="G412" s="315">
        <f>SUM(G420,G413)</f>
        <v>35849</v>
      </c>
      <c r="H412" s="555"/>
      <c r="I412" s="314">
        <f>SUM(I420,I413)</f>
        <v>197352</v>
      </c>
      <c r="J412" s="315">
        <f>SUM(J420,J413)</f>
        <v>233201</v>
      </c>
      <c r="K412" s="238">
        <f t="shared" si="166"/>
        <v>0.91494428750784684</v>
      </c>
      <c r="L412" s="197"/>
    </row>
    <row r="413" spans="1:12">
      <c r="A413" s="951"/>
      <c r="B413" s="4082" t="s">
        <v>288</v>
      </c>
      <c r="C413" s="4082"/>
      <c r="D413" s="1000"/>
      <c r="E413" s="240">
        <f>SUM(E414:E419)</f>
        <v>0</v>
      </c>
      <c r="F413" s="240">
        <f>SUM(F414:F419)</f>
        <v>250882</v>
      </c>
      <c r="G413" s="241">
        <f>SUM(G414:G419)</f>
        <v>35849</v>
      </c>
      <c r="H413" s="1001"/>
      <c r="I413" s="240">
        <f>SUM(I414:I419)</f>
        <v>197352</v>
      </c>
      <c r="J413" s="241">
        <f>SUM(J414:J419)</f>
        <v>233201</v>
      </c>
      <c r="K413" s="203">
        <f t="shared" si="166"/>
        <v>0.92952463708038047</v>
      </c>
      <c r="L413" s="204"/>
    </row>
    <row r="414" spans="1:12" ht="29.25" hidden="1" customHeight="1">
      <c r="A414" s="951"/>
      <c r="B414" s="1002"/>
      <c r="C414" s="266" t="s">
        <v>559</v>
      </c>
      <c r="D414" s="1003" t="s">
        <v>314</v>
      </c>
      <c r="E414" s="268">
        <v>0</v>
      </c>
      <c r="F414" s="230">
        <v>0</v>
      </c>
      <c r="G414" s="231">
        <v>0</v>
      </c>
      <c r="H414" s="209" t="e">
        <f t="shared" ref="H414:H477" si="167">G414/E414</f>
        <v>#DIV/0!</v>
      </c>
      <c r="I414" s="252"/>
      <c r="J414" s="211"/>
      <c r="K414" s="212" t="e">
        <f t="shared" si="166"/>
        <v>#DIV/0!</v>
      </c>
      <c r="L414" s="247"/>
    </row>
    <row r="415" spans="1:12" ht="51">
      <c r="A415" s="951"/>
      <c r="B415" s="1004"/>
      <c r="C415" s="547" t="s">
        <v>560</v>
      </c>
      <c r="D415" s="406" t="s">
        <v>561</v>
      </c>
      <c r="E415" s="206">
        <v>0</v>
      </c>
      <c r="F415" s="207">
        <v>65370</v>
      </c>
      <c r="G415" s="208">
        <v>35849</v>
      </c>
      <c r="H415" s="209"/>
      <c r="I415" s="252">
        <v>0</v>
      </c>
      <c r="J415" s="479">
        <f t="shared" si="165"/>
        <v>35849</v>
      </c>
      <c r="K415" s="212">
        <f t="shared" si="166"/>
        <v>0.54840140737341292</v>
      </c>
      <c r="L415" s="300"/>
    </row>
    <row r="416" spans="1:12" ht="54.75" customHeight="1">
      <c r="A416" s="951"/>
      <c r="B416" s="1004"/>
      <c r="C416" s="547" t="s">
        <v>562</v>
      </c>
      <c r="D416" s="406" t="s">
        <v>561</v>
      </c>
      <c r="E416" s="206">
        <v>0</v>
      </c>
      <c r="F416" s="207">
        <v>0</v>
      </c>
      <c r="G416" s="208">
        <v>0</v>
      </c>
      <c r="H416" s="209"/>
      <c r="I416" s="252">
        <v>197352</v>
      </c>
      <c r="J416" s="479">
        <f t="shared" si="165"/>
        <v>197352</v>
      </c>
      <c r="K416" s="212"/>
      <c r="L416" s="300"/>
    </row>
    <row r="417" spans="1:12" ht="38.25">
      <c r="A417" s="951"/>
      <c r="B417" s="1005"/>
      <c r="C417" s="1006" t="s">
        <v>563</v>
      </c>
      <c r="D417" s="1007" t="s">
        <v>378</v>
      </c>
      <c r="E417" s="401">
        <v>0</v>
      </c>
      <c r="F417" s="408">
        <v>121990</v>
      </c>
      <c r="G417" s="409">
        <v>0</v>
      </c>
      <c r="H417" s="209"/>
      <c r="I417" s="215">
        <v>0</v>
      </c>
      <c r="J417" s="479">
        <f t="shared" si="165"/>
        <v>0</v>
      </c>
      <c r="K417" s="212">
        <f t="shared" si="166"/>
        <v>0</v>
      </c>
      <c r="L417" s="410"/>
    </row>
    <row r="418" spans="1:12" ht="66" customHeight="1">
      <c r="A418" s="951"/>
      <c r="B418" s="1004"/>
      <c r="C418" s="345" t="s">
        <v>335</v>
      </c>
      <c r="D418" s="406" t="s">
        <v>564</v>
      </c>
      <c r="E418" s="206">
        <v>0</v>
      </c>
      <c r="F418" s="207">
        <v>17850</v>
      </c>
      <c r="G418" s="208">
        <v>0</v>
      </c>
      <c r="H418" s="209"/>
      <c r="I418" s="252">
        <v>0</v>
      </c>
      <c r="J418" s="211">
        <f t="shared" si="165"/>
        <v>0</v>
      </c>
      <c r="K418" s="212">
        <f t="shared" si="166"/>
        <v>0</v>
      </c>
      <c r="L418" s="300"/>
    </row>
    <row r="419" spans="1:12" ht="51" customHeight="1" thickBot="1">
      <c r="A419" s="955"/>
      <c r="B419" s="1008"/>
      <c r="C419" s="1009" t="s">
        <v>333</v>
      </c>
      <c r="D419" s="1010" t="s">
        <v>565</v>
      </c>
      <c r="E419" s="424">
        <v>0</v>
      </c>
      <c r="F419" s="588">
        <v>45672</v>
      </c>
      <c r="G419" s="589">
        <v>0</v>
      </c>
      <c r="H419" s="590"/>
      <c r="I419" s="591">
        <v>0</v>
      </c>
      <c r="J419" s="592">
        <f t="shared" si="165"/>
        <v>0</v>
      </c>
      <c r="K419" s="593">
        <f t="shared" si="166"/>
        <v>0</v>
      </c>
      <c r="L419" s="300"/>
    </row>
    <row r="420" spans="1:12">
      <c r="A420" s="948"/>
      <c r="B420" s="4137" t="s">
        <v>334</v>
      </c>
      <c r="C420" s="4137"/>
      <c r="D420" s="1011"/>
      <c r="E420" s="263">
        <f>SUM(E421:E422)</f>
        <v>0</v>
      </c>
      <c r="F420" s="263">
        <f>SUM(F421:F422)</f>
        <v>3998</v>
      </c>
      <c r="G420" s="264">
        <f>SUM(G421:G422)</f>
        <v>0</v>
      </c>
      <c r="H420" s="344"/>
      <c r="I420" s="263">
        <f>SUM(I421:I422)</f>
        <v>0</v>
      </c>
      <c r="J420" s="241">
        <f>SUM(J421:J422)</f>
        <v>0</v>
      </c>
      <c r="K420" s="361">
        <f t="shared" si="166"/>
        <v>0</v>
      </c>
      <c r="L420" s="420"/>
    </row>
    <row r="421" spans="1:12" ht="63.75">
      <c r="A421" s="951"/>
      <c r="B421" s="4138"/>
      <c r="C421" s="1012" t="s">
        <v>335</v>
      </c>
      <c r="D421" s="406" t="s">
        <v>566</v>
      </c>
      <c r="E421" s="206">
        <v>0</v>
      </c>
      <c r="F421" s="207">
        <v>941</v>
      </c>
      <c r="G421" s="208">
        <v>0</v>
      </c>
      <c r="H421" s="209"/>
      <c r="I421" s="252">
        <v>0</v>
      </c>
      <c r="J421" s="479">
        <f t="shared" si="165"/>
        <v>0</v>
      </c>
      <c r="K421" s="212">
        <f t="shared" si="166"/>
        <v>0</v>
      </c>
      <c r="L421" s="300"/>
    </row>
    <row r="422" spans="1:12" ht="57" customHeight="1" thickBot="1">
      <c r="A422" s="955"/>
      <c r="B422" s="4139"/>
      <c r="C422" s="1013" t="s">
        <v>333</v>
      </c>
      <c r="D422" s="1014" t="s">
        <v>567</v>
      </c>
      <c r="E422" s="414">
        <v>0</v>
      </c>
      <c r="F422" s="782">
        <v>3057</v>
      </c>
      <c r="G422" s="354">
        <v>0</v>
      </c>
      <c r="H422" s="355"/>
      <c r="I422" s="356">
        <v>0</v>
      </c>
      <c r="J422" s="592">
        <f t="shared" si="165"/>
        <v>0</v>
      </c>
      <c r="K422" s="358">
        <f t="shared" si="166"/>
        <v>0</v>
      </c>
      <c r="L422" s="369"/>
    </row>
    <row r="423" spans="1:12" ht="15.75" thickBot="1">
      <c r="A423" s="1015">
        <v>851</v>
      </c>
      <c r="B423" s="1016"/>
      <c r="C423" s="1017" t="s">
        <v>568</v>
      </c>
      <c r="D423" s="1018"/>
      <c r="E423" s="1019">
        <f>SUM(E424,E436,E450,E454,E458)</f>
        <v>19926691</v>
      </c>
      <c r="F423" s="1019">
        <f t="shared" ref="F423:G423" si="168">SUM(F424,F436,F450,F454,F458)</f>
        <v>30338248</v>
      </c>
      <c r="G423" s="1020">
        <f t="shared" si="168"/>
        <v>34111097</v>
      </c>
      <c r="H423" s="574">
        <f t="shared" si="167"/>
        <v>1.7118294753504233</v>
      </c>
      <c r="I423" s="1019">
        <f>SUM(I424,I436,I450,I454,I458)</f>
        <v>-15427097</v>
      </c>
      <c r="J423" s="1020">
        <f t="shared" ref="J423" si="169">SUM(J424,J436,J450,J454,J458)</f>
        <v>18684000</v>
      </c>
      <c r="K423" s="394">
        <f t="shared" si="166"/>
        <v>0.61585626170634511</v>
      </c>
      <c r="L423" s="832"/>
    </row>
    <row r="424" spans="1:12" ht="15.75" thickBot="1">
      <c r="A424" s="1021"/>
      <c r="B424" s="1022">
        <v>85111</v>
      </c>
      <c r="C424" s="1023" t="s">
        <v>569</v>
      </c>
      <c r="D424" s="1024"/>
      <c r="E424" s="1025">
        <v>0</v>
      </c>
      <c r="F424" s="1025">
        <f t="shared" ref="F424:G424" si="170">SUM(F425,F428)</f>
        <v>892969</v>
      </c>
      <c r="G424" s="1026">
        <f t="shared" si="170"/>
        <v>0</v>
      </c>
      <c r="H424" s="555"/>
      <c r="I424" s="1025">
        <v>0</v>
      </c>
      <c r="J424" s="1026">
        <f t="shared" ref="J424" si="171">SUM(J425,J428)</f>
        <v>0</v>
      </c>
      <c r="K424" s="238">
        <f t="shared" si="166"/>
        <v>0</v>
      </c>
      <c r="L424" s="469"/>
    </row>
    <row r="425" spans="1:12" ht="15" customHeight="1">
      <c r="A425" s="1021"/>
      <c r="B425" s="4056" t="s">
        <v>360</v>
      </c>
      <c r="C425" s="4056"/>
      <c r="D425" s="1027"/>
      <c r="E425" s="677">
        <v>0</v>
      </c>
      <c r="F425" s="677">
        <f t="shared" ref="F425:G425" si="172">SUM(F426:F427)</f>
        <v>0</v>
      </c>
      <c r="G425" s="678">
        <f t="shared" si="172"/>
        <v>0</v>
      </c>
      <c r="H425" s="1001"/>
      <c r="I425" s="677">
        <v>0</v>
      </c>
      <c r="J425" s="678">
        <f t="shared" ref="J425" si="173">SUM(J426:J427)</f>
        <v>0</v>
      </c>
      <c r="K425" s="203"/>
      <c r="L425" s="474"/>
    </row>
    <row r="426" spans="1:12" ht="7.5" hidden="1" customHeight="1">
      <c r="A426" s="1021"/>
      <c r="B426" s="4140"/>
      <c r="C426" s="1028" t="s">
        <v>315</v>
      </c>
      <c r="D426" s="1029" t="s">
        <v>418</v>
      </c>
      <c r="E426" s="1030">
        <v>0</v>
      </c>
      <c r="F426" s="1031"/>
      <c r="G426" s="1032"/>
      <c r="H426" s="430"/>
      <c r="I426" s="1030">
        <v>0</v>
      </c>
      <c r="J426" s="1032"/>
      <c r="K426" s="419" t="e">
        <f t="shared" si="166"/>
        <v>#DIV/0!</v>
      </c>
      <c r="L426" s="489"/>
    </row>
    <row r="427" spans="1:12" ht="26.25" hidden="1" customHeight="1">
      <c r="A427" s="1021"/>
      <c r="B427" s="4141"/>
      <c r="C427" s="1028" t="s">
        <v>570</v>
      </c>
      <c r="D427" s="1033">
        <v>2950</v>
      </c>
      <c r="E427" s="1030">
        <v>0</v>
      </c>
      <c r="F427" s="1034"/>
      <c r="G427" s="1035"/>
      <c r="H427" s="430"/>
      <c r="I427" s="1030">
        <v>0</v>
      </c>
      <c r="J427" s="1035"/>
      <c r="K427" s="419" t="e">
        <f t="shared" si="166"/>
        <v>#DIV/0!</v>
      </c>
      <c r="L427" s="489"/>
    </row>
    <row r="428" spans="1:12" ht="14.25" customHeight="1">
      <c r="A428" s="1021"/>
      <c r="B428" s="4112" t="s">
        <v>334</v>
      </c>
      <c r="C428" s="4113"/>
      <c r="D428" s="1036"/>
      <c r="E428" s="487">
        <v>0</v>
      </c>
      <c r="F428" s="487">
        <f>SUM(F429:F431)</f>
        <v>892969</v>
      </c>
      <c r="G428" s="488">
        <f>SUM(G429:G431)</f>
        <v>0</v>
      </c>
      <c r="H428" s="430"/>
      <c r="I428" s="487">
        <v>0</v>
      </c>
      <c r="J428" s="488">
        <f>SUM(J429:J431)</f>
        <v>0</v>
      </c>
      <c r="K428" s="419">
        <f t="shared" si="166"/>
        <v>0</v>
      </c>
      <c r="L428" s="489"/>
    </row>
    <row r="429" spans="1:12" ht="51" hidden="1" customHeight="1">
      <c r="A429" s="1021"/>
      <c r="B429" s="1037"/>
      <c r="C429" s="1038" t="s">
        <v>571</v>
      </c>
      <c r="D429" s="1039">
        <v>6510</v>
      </c>
      <c r="E429" s="681"/>
      <c r="F429" s="477"/>
      <c r="G429" s="548"/>
      <c r="H429" s="209" t="e">
        <f t="shared" si="167"/>
        <v>#DIV/0!</v>
      </c>
      <c r="I429" s="252"/>
      <c r="J429" s="211"/>
      <c r="K429" s="212" t="e">
        <f t="shared" si="166"/>
        <v>#DIV/0!</v>
      </c>
      <c r="L429" s="1040"/>
    </row>
    <row r="430" spans="1:12" ht="38.25" hidden="1" customHeight="1">
      <c r="A430" s="1021"/>
      <c r="B430" s="1041"/>
      <c r="C430" s="1038" t="s">
        <v>572</v>
      </c>
      <c r="D430" s="1039">
        <v>6530</v>
      </c>
      <c r="E430" s="681">
        <v>0</v>
      </c>
      <c r="F430" s="477"/>
      <c r="G430" s="548"/>
      <c r="H430" s="209" t="e">
        <f t="shared" si="167"/>
        <v>#DIV/0!</v>
      </c>
      <c r="I430" s="252"/>
      <c r="J430" s="211"/>
      <c r="K430" s="212" t="e">
        <f t="shared" si="166"/>
        <v>#DIV/0!</v>
      </c>
      <c r="L430" s="1040"/>
    </row>
    <row r="431" spans="1:12" ht="51.75" thickBot="1">
      <c r="A431" s="1021"/>
      <c r="B431" s="1042"/>
      <c r="C431" s="1043" t="s">
        <v>573</v>
      </c>
      <c r="D431" s="1044">
        <v>6699</v>
      </c>
      <c r="E431" s="1045">
        <v>0</v>
      </c>
      <c r="F431" s="477">
        <v>892969</v>
      </c>
      <c r="G431" s="548">
        <v>0</v>
      </c>
      <c r="H431" s="209"/>
      <c r="I431" s="252">
        <v>0</v>
      </c>
      <c r="J431" s="479">
        <f t="shared" si="165"/>
        <v>0</v>
      </c>
      <c r="K431" s="212">
        <f t="shared" si="166"/>
        <v>0</v>
      </c>
      <c r="L431" s="494"/>
    </row>
    <row r="432" spans="1:12" ht="15.75" hidden="1" customHeight="1" thickBot="1">
      <c r="A432" s="1021"/>
      <c r="B432" s="1046">
        <v>85119</v>
      </c>
      <c r="C432" s="1047" t="s">
        <v>574</v>
      </c>
      <c r="D432" s="1048"/>
      <c r="E432" s="1049"/>
      <c r="F432" s="1050"/>
      <c r="G432" s="1051"/>
      <c r="H432" s="209" t="e">
        <f t="shared" si="167"/>
        <v>#DIV/0!</v>
      </c>
      <c r="I432" s="252"/>
      <c r="J432" s="211"/>
      <c r="K432" s="212" t="e">
        <f t="shared" si="166"/>
        <v>#DIV/0!</v>
      </c>
      <c r="L432" s="1040"/>
    </row>
    <row r="433" spans="1:12" ht="0.75" hidden="1" customHeight="1" thickBot="1">
      <c r="A433" s="1021"/>
      <c r="B433" s="4142" t="s">
        <v>360</v>
      </c>
      <c r="C433" s="4142"/>
      <c r="D433" s="820"/>
      <c r="E433" s="1052"/>
      <c r="F433" s="1031"/>
      <c r="G433" s="1032"/>
      <c r="H433" s="209" t="e">
        <f t="shared" si="167"/>
        <v>#DIV/0!</v>
      </c>
      <c r="I433" s="252"/>
      <c r="J433" s="211"/>
      <c r="K433" s="212" t="e">
        <f t="shared" si="166"/>
        <v>#DIV/0!</v>
      </c>
      <c r="L433" s="1040"/>
    </row>
    <row r="434" spans="1:12" ht="15.75" hidden="1" customHeight="1" thickBot="1">
      <c r="A434" s="1021"/>
      <c r="B434" s="4133" t="s">
        <v>334</v>
      </c>
      <c r="C434" s="4133"/>
      <c r="D434" s="1036"/>
      <c r="E434" s="1053"/>
      <c r="F434" s="1031"/>
      <c r="G434" s="1032"/>
      <c r="H434" s="209" t="e">
        <f t="shared" si="167"/>
        <v>#DIV/0!</v>
      </c>
      <c r="I434" s="252"/>
      <c r="J434" s="211"/>
      <c r="K434" s="212" t="e">
        <f t="shared" si="166"/>
        <v>#DIV/0!</v>
      </c>
      <c r="L434" s="1040"/>
    </row>
    <row r="435" spans="1:12" ht="14.25" hidden="1" customHeight="1" thickBot="1">
      <c r="A435" s="1021"/>
      <c r="B435" s="1054"/>
      <c r="C435" s="1055" t="s">
        <v>575</v>
      </c>
      <c r="D435" s="1056">
        <v>6510</v>
      </c>
      <c r="E435" s="698"/>
      <c r="F435" s="699"/>
      <c r="G435" s="700"/>
      <c r="H435" s="635" t="e">
        <f t="shared" si="167"/>
        <v>#DIV/0!</v>
      </c>
      <c r="I435" s="426"/>
      <c r="J435" s="636"/>
      <c r="K435" s="234" t="e">
        <f t="shared" si="166"/>
        <v>#DIV/0!</v>
      </c>
      <c r="L435" s="1057"/>
    </row>
    <row r="436" spans="1:12" s="579" customFormat="1" ht="15.75" thickBot="1">
      <c r="A436" s="1021"/>
      <c r="B436" s="794">
        <v>85141</v>
      </c>
      <c r="C436" s="795" t="s">
        <v>576</v>
      </c>
      <c r="D436" s="796"/>
      <c r="E436" s="841">
        <f t="shared" ref="E436:F436" si="174">SUM(E437,E438)</f>
        <v>150000</v>
      </c>
      <c r="F436" s="841">
        <f t="shared" si="174"/>
        <v>150000</v>
      </c>
      <c r="G436" s="842">
        <f t="shared" ref="G436" si="175">SUM(G437,G444)</f>
        <v>0</v>
      </c>
      <c r="H436" s="555">
        <f t="shared" si="167"/>
        <v>0</v>
      </c>
      <c r="I436" s="841">
        <f t="shared" ref="I436:J436" si="176">SUM(I437,I438)</f>
        <v>150000</v>
      </c>
      <c r="J436" s="842">
        <f t="shared" si="176"/>
        <v>150000</v>
      </c>
      <c r="K436" s="238">
        <f t="shared" si="166"/>
        <v>1</v>
      </c>
      <c r="L436" s="469"/>
    </row>
    <row r="437" spans="1:12">
      <c r="A437" s="1021"/>
      <c r="B437" s="4056" t="s">
        <v>360</v>
      </c>
      <c r="C437" s="4056"/>
      <c r="D437" s="1058"/>
      <c r="E437" s="677">
        <v>0</v>
      </c>
      <c r="F437" s="677">
        <v>0</v>
      </c>
      <c r="G437" s="1059">
        <v>0</v>
      </c>
      <c r="H437" s="559"/>
      <c r="I437" s="677">
        <v>0</v>
      </c>
      <c r="J437" s="678">
        <v>0</v>
      </c>
      <c r="K437" s="203"/>
      <c r="L437" s="474"/>
    </row>
    <row r="438" spans="1:12" ht="15" customHeight="1">
      <c r="A438" s="1021"/>
      <c r="B438" s="4113" t="s">
        <v>334</v>
      </c>
      <c r="C438" s="4113"/>
      <c r="D438" s="1036"/>
      <c r="E438" s="487">
        <f t="shared" ref="E438:F438" si="177">SUM(E439:E440)</f>
        <v>150000</v>
      </c>
      <c r="F438" s="487">
        <f t="shared" si="177"/>
        <v>150000</v>
      </c>
      <c r="G438" s="1060">
        <f>SUM(G440)</f>
        <v>0</v>
      </c>
      <c r="H438" s="418">
        <f t="shared" si="167"/>
        <v>0</v>
      </c>
      <c r="I438" s="487">
        <f t="shared" ref="I438:J438" si="178">SUM(I439:I440)</f>
        <v>150000</v>
      </c>
      <c r="J438" s="488">
        <f t="shared" si="178"/>
        <v>150000</v>
      </c>
      <c r="K438" s="419">
        <f t="shared" si="166"/>
        <v>1</v>
      </c>
      <c r="L438" s="489"/>
    </row>
    <row r="439" spans="1:12" ht="38.25" hidden="1" customHeight="1">
      <c r="A439" s="1021"/>
      <c r="B439" s="4134"/>
      <c r="C439" s="1061" t="s">
        <v>577</v>
      </c>
      <c r="D439" s="521">
        <v>6300</v>
      </c>
      <c r="E439" s="681">
        <v>0</v>
      </c>
      <c r="F439" s="477"/>
      <c r="G439" s="548"/>
      <c r="H439" s="209" t="e">
        <f t="shared" si="167"/>
        <v>#DIV/0!</v>
      </c>
      <c r="I439" s="252"/>
      <c r="J439" s="211"/>
      <c r="K439" s="212" t="e">
        <f t="shared" si="166"/>
        <v>#DIV/0!</v>
      </c>
      <c r="L439" s="1040"/>
    </row>
    <row r="440" spans="1:12" ht="53.25" customHeight="1" thickBot="1">
      <c r="A440" s="1021"/>
      <c r="B440" s="4135"/>
      <c r="C440" s="1062" t="s">
        <v>578</v>
      </c>
      <c r="D440" s="716">
        <v>6510</v>
      </c>
      <c r="E440" s="681">
        <v>150000</v>
      </c>
      <c r="F440" s="477">
        <v>150000</v>
      </c>
      <c r="G440" s="548">
        <v>0</v>
      </c>
      <c r="H440" s="209">
        <f t="shared" si="167"/>
        <v>0</v>
      </c>
      <c r="I440" s="252">
        <v>150000</v>
      </c>
      <c r="J440" s="479">
        <f t="shared" si="165"/>
        <v>150000</v>
      </c>
      <c r="K440" s="212">
        <f t="shared" si="166"/>
        <v>1</v>
      </c>
      <c r="L440" s="494"/>
    </row>
    <row r="441" spans="1:12" ht="44.25" hidden="1" customHeight="1" thickBot="1">
      <c r="A441" s="1063"/>
      <c r="B441" s="958">
        <v>85148</v>
      </c>
      <c r="C441" s="994" t="s">
        <v>579</v>
      </c>
      <c r="D441" s="995"/>
      <c r="E441" s="1064"/>
      <c r="F441" s="230"/>
      <c r="G441" s="231"/>
      <c r="H441" s="209" t="e">
        <f t="shared" si="167"/>
        <v>#DIV/0!</v>
      </c>
      <c r="I441" s="252"/>
      <c r="J441" s="211"/>
      <c r="K441" s="212" t="e">
        <f t="shared" si="166"/>
        <v>#DIV/0!</v>
      </c>
      <c r="L441" s="247"/>
    </row>
    <row r="442" spans="1:12" ht="15.75" hidden="1" customHeight="1" thickBot="1">
      <c r="A442" s="1063"/>
      <c r="B442" s="4050" t="s">
        <v>288</v>
      </c>
      <c r="C442" s="4050"/>
      <c r="D442" s="857"/>
      <c r="E442" s="1065"/>
      <c r="F442" s="230"/>
      <c r="G442" s="231"/>
      <c r="H442" s="209" t="e">
        <f t="shared" si="167"/>
        <v>#DIV/0!</v>
      </c>
      <c r="I442" s="252"/>
      <c r="J442" s="211"/>
      <c r="K442" s="212" t="e">
        <f t="shared" si="166"/>
        <v>#DIV/0!</v>
      </c>
      <c r="L442" s="247"/>
    </row>
    <row r="443" spans="1:12" s="931" customFormat="1" ht="15.75" hidden="1" customHeight="1" thickBot="1">
      <c r="A443" s="1063"/>
      <c r="B443" s="4136" t="s">
        <v>293</v>
      </c>
      <c r="C443" s="4136"/>
      <c r="D443" s="1066"/>
      <c r="E443" s="378"/>
      <c r="F443" s="1067"/>
      <c r="G443" s="1068"/>
      <c r="H443" s="209" t="e">
        <f t="shared" si="167"/>
        <v>#DIV/0!</v>
      </c>
      <c r="I443" s="252"/>
      <c r="J443" s="211"/>
      <c r="K443" s="212" t="e">
        <f t="shared" si="166"/>
        <v>#DIV/0!</v>
      </c>
      <c r="L443" s="247"/>
    </row>
    <row r="444" spans="1:12" ht="12.75" hidden="1" customHeight="1" thickBot="1">
      <c r="A444" s="1063"/>
      <c r="B444" s="1069"/>
      <c r="C444" s="1070" t="s">
        <v>580</v>
      </c>
      <c r="D444" s="1071">
        <v>6690</v>
      </c>
      <c r="E444" s="229"/>
      <c r="F444" s="230"/>
      <c r="G444" s="231"/>
      <c r="H444" s="209" t="e">
        <f t="shared" si="167"/>
        <v>#DIV/0!</v>
      </c>
      <c r="I444" s="252"/>
      <c r="J444" s="211"/>
      <c r="K444" s="212" t="e">
        <f t="shared" si="166"/>
        <v>#DIV/0!</v>
      </c>
      <c r="L444" s="247"/>
    </row>
    <row r="445" spans="1:12" ht="56.25" hidden="1" customHeight="1" thickBot="1">
      <c r="A445" s="1063"/>
      <c r="B445" s="958">
        <v>85153</v>
      </c>
      <c r="C445" s="1072" t="s">
        <v>581</v>
      </c>
      <c r="D445" s="995"/>
      <c r="E445" s="1064"/>
      <c r="F445" s="230"/>
      <c r="G445" s="231"/>
      <c r="H445" s="209" t="e">
        <f t="shared" si="167"/>
        <v>#DIV/0!</v>
      </c>
      <c r="I445" s="252"/>
      <c r="J445" s="211"/>
      <c r="K445" s="212" t="e">
        <f t="shared" si="166"/>
        <v>#DIV/0!</v>
      </c>
      <c r="L445" s="247"/>
    </row>
    <row r="446" spans="1:12" ht="43.5" hidden="1" customHeight="1" thickBot="1">
      <c r="A446" s="1063"/>
      <c r="B446" s="4103" t="s">
        <v>288</v>
      </c>
      <c r="C446" s="4103"/>
      <c r="D446" s="857"/>
      <c r="E446" s="1065"/>
      <c r="F446" s="230"/>
      <c r="G446" s="231"/>
      <c r="H446" s="209" t="e">
        <f t="shared" si="167"/>
        <v>#DIV/0!</v>
      </c>
      <c r="I446" s="252"/>
      <c r="J446" s="211"/>
      <c r="K446" s="212" t="e">
        <f t="shared" si="166"/>
        <v>#DIV/0!</v>
      </c>
      <c r="L446" s="247"/>
    </row>
    <row r="447" spans="1:12" ht="15.75" hidden="1" customHeight="1" thickBot="1">
      <c r="A447" s="1063"/>
      <c r="B447" s="4130"/>
      <c r="C447" s="1073" t="s">
        <v>582</v>
      </c>
      <c r="D447" s="999" t="s">
        <v>340</v>
      </c>
      <c r="E447" s="268"/>
      <c r="F447" s="230"/>
      <c r="G447" s="231"/>
      <c r="H447" s="209" t="e">
        <f t="shared" si="167"/>
        <v>#DIV/0!</v>
      </c>
      <c r="I447" s="252"/>
      <c r="J447" s="211"/>
      <c r="K447" s="212" t="e">
        <f t="shared" si="166"/>
        <v>#DIV/0!</v>
      </c>
      <c r="L447" s="247"/>
    </row>
    <row r="448" spans="1:12" s="931" customFormat="1" ht="39" hidden="1" customHeight="1" thickBot="1">
      <c r="A448" s="1063"/>
      <c r="B448" s="4131"/>
      <c r="C448" s="1074" t="s">
        <v>583</v>
      </c>
      <c r="D448" s="1075">
        <v>2910</v>
      </c>
      <c r="E448" s="1076"/>
      <c r="F448" s="1067"/>
      <c r="G448" s="1068"/>
      <c r="H448" s="209" t="e">
        <f t="shared" si="167"/>
        <v>#DIV/0!</v>
      </c>
      <c r="I448" s="252"/>
      <c r="J448" s="211"/>
      <c r="K448" s="212" t="e">
        <f t="shared" si="166"/>
        <v>#DIV/0!</v>
      </c>
      <c r="L448" s="247"/>
    </row>
    <row r="449" spans="1:12" ht="12.75" hidden="1" customHeight="1" thickBot="1">
      <c r="A449" s="1063"/>
      <c r="B449" s="4132" t="s">
        <v>293</v>
      </c>
      <c r="C449" s="4132"/>
      <c r="D449" s="891"/>
      <c r="E449" s="1077"/>
      <c r="F449" s="540"/>
      <c r="G449" s="541"/>
      <c r="H449" s="635" t="e">
        <f t="shared" si="167"/>
        <v>#DIV/0!</v>
      </c>
      <c r="I449" s="426"/>
      <c r="J449" s="636"/>
      <c r="K449" s="234" t="e">
        <f t="shared" si="166"/>
        <v>#DIV/0!</v>
      </c>
      <c r="L449" s="235"/>
    </row>
    <row r="450" spans="1:12" s="1078" customFormat="1" ht="41.25" customHeight="1" thickBot="1">
      <c r="A450" s="1063"/>
      <c r="B450" s="794">
        <v>85156</v>
      </c>
      <c r="C450" s="795" t="s">
        <v>584</v>
      </c>
      <c r="D450" s="849"/>
      <c r="E450" s="467">
        <f t="shared" ref="E450:G450" si="179">E451+E453</f>
        <v>10000</v>
      </c>
      <c r="F450" s="467">
        <f t="shared" si="179"/>
        <v>10000</v>
      </c>
      <c r="G450" s="468">
        <f t="shared" si="179"/>
        <v>0</v>
      </c>
      <c r="H450" s="555">
        <f t="shared" si="167"/>
        <v>0</v>
      </c>
      <c r="I450" s="467">
        <f t="shared" ref="I450:J450" si="180">I451+I453</f>
        <v>0</v>
      </c>
      <c r="J450" s="468">
        <f t="shared" si="180"/>
        <v>0</v>
      </c>
      <c r="K450" s="238">
        <f t="shared" si="166"/>
        <v>0</v>
      </c>
      <c r="L450" s="197"/>
    </row>
    <row r="451" spans="1:12">
      <c r="A451" s="1063"/>
      <c r="B451" s="4124" t="s">
        <v>288</v>
      </c>
      <c r="C451" s="4124"/>
      <c r="D451" s="857"/>
      <c r="E451" s="677">
        <f t="shared" ref="E451:J451" si="181">E452</f>
        <v>10000</v>
      </c>
      <c r="F451" s="677">
        <f t="shared" si="181"/>
        <v>10000</v>
      </c>
      <c r="G451" s="678">
        <f t="shared" si="181"/>
        <v>0</v>
      </c>
      <c r="H451" s="559">
        <f t="shared" si="167"/>
        <v>0</v>
      </c>
      <c r="I451" s="677">
        <f t="shared" si="181"/>
        <v>0</v>
      </c>
      <c r="J451" s="473">
        <f t="shared" si="181"/>
        <v>0</v>
      </c>
      <c r="K451" s="203">
        <f t="shared" si="166"/>
        <v>0</v>
      </c>
      <c r="L451" s="474"/>
    </row>
    <row r="452" spans="1:12" ht="38.25">
      <c r="A452" s="1063"/>
      <c r="B452" s="1079"/>
      <c r="C452" s="1080" t="s">
        <v>315</v>
      </c>
      <c r="D452" s="1039">
        <v>2210</v>
      </c>
      <c r="E452" s="681">
        <v>10000</v>
      </c>
      <c r="F452" s="477">
        <v>10000</v>
      </c>
      <c r="G452" s="548">
        <v>0</v>
      </c>
      <c r="H452" s="209">
        <f t="shared" si="167"/>
        <v>0</v>
      </c>
      <c r="I452" s="252">
        <v>0</v>
      </c>
      <c r="J452" s="479">
        <f t="shared" ref="J452" si="182">SUM(G452,I452)</f>
        <v>0</v>
      </c>
      <c r="K452" s="212">
        <f t="shared" si="166"/>
        <v>0</v>
      </c>
      <c r="L452" s="494"/>
    </row>
    <row r="453" spans="1:12" ht="15.75" thickBot="1">
      <c r="A453" s="1063"/>
      <c r="B453" s="4058" t="s">
        <v>293</v>
      </c>
      <c r="C453" s="4058"/>
      <c r="D453" s="885"/>
      <c r="E453" s="685">
        <v>0</v>
      </c>
      <c r="F453" s="685">
        <v>0</v>
      </c>
      <c r="G453" s="686">
        <v>0</v>
      </c>
      <c r="H453" s="567"/>
      <c r="I453" s="685">
        <v>0</v>
      </c>
      <c r="J453" s="687">
        <v>0</v>
      </c>
      <c r="K453" s="450"/>
      <c r="L453" s="688"/>
    </row>
    <row r="454" spans="1:12" ht="15.75" customHeight="1" thickBot="1">
      <c r="A454" s="1021"/>
      <c r="B454" s="1022">
        <v>85157</v>
      </c>
      <c r="C454" s="1023" t="s">
        <v>585</v>
      </c>
      <c r="D454" s="796"/>
      <c r="E454" s="467">
        <f>E455+E457</f>
        <v>19736691</v>
      </c>
      <c r="F454" s="467">
        <f>F455+F457</f>
        <v>29220053</v>
      </c>
      <c r="G454" s="468">
        <f>G455+G457</f>
        <v>34081097</v>
      </c>
      <c r="H454" s="555">
        <f t="shared" si="167"/>
        <v>1.7267888016283985</v>
      </c>
      <c r="I454" s="467">
        <f>I455+I457</f>
        <v>-15577097</v>
      </c>
      <c r="J454" s="468">
        <f>J455+J457</f>
        <v>18504000</v>
      </c>
      <c r="K454" s="238">
        <f t="shared" si="166"/>
        <v>0.63326373843332862</v>
      </c>
      <c r="L454" s="469"/>
    </row>
    <row r="455" spans="1:12">
      <c r="A455" s="1021"/>
      <c r="B455" s="4124" t="s">
        <v>288</v>
      </c>
      <c r="C455" s="4124"/>
      <c r="D455" s="820"/>
      <c r="E455" s="677">
        <f>SUM(E456:E456)</f>
        <v>19736691</v>
      </c>
      <c r="F455" s="677">
        <f>SUM(F456:F456)</f>
        <v>29220053</v>
      </c>
      <c r="G455" s="678">
        <f>SUM(G456:G456)</f>
        <v>34081097</v>
      </c>
      <c r="H455" s="559">
        <f t="shared" si="167"/>
        <v>1.7267888016283985</v>
      </c>
      <c r="I455" s="677">
        <f>SUM(I456:I456)</f>
        <v>-15577097</v>
      </c>
      <c r="J455" s="473">
        <f>SUM(J456:J456)</f>
        <v>18504000</v>
      </c>
      <c r="K455" s="203">
        <f t="shared" si="166"/>
        <v>0.63326373843332862</v>
      </c>
      <c r="L455" s="474"/>
    </row>
    <row r="456" spans="1:12" ht="38.25">
      <c r="A456" s="1021"/>
      <c r="B456" s="1081"/>
      <c r="C456" s="1080" t="s">
        <v>315</v>
      </c>
      <c r="D456" s="1039">
        <v>2210</v>
      </c>
      <c r="E456" s="681">
        <v>19736691</v>
      </c>
      <c r="F456" s="477">
        <v>29220053</v>
      </c>
      <c r="G456" s="548">
        <v>34081097</v>
      </c>
      <c r="H456" s="209">
        <f t="shared" si="167"/>
        <v>1.7267888016283985</v>
      </c>
      <c r="I456" s="252">
        <v>-15577097</v>
      </c>
      <c r="J456" s="479">
        <f t="shared" ref="J456" si="183">SUM(G456,I456)</f>
        <v>18504000</v>
      </c>
      <c r="K456" s="212">
        <f t="shared" si="166"/>
        <v>0.63326373843332862</v>
      </c>
      <c r="L456" s="494"/>
    </row>
    <row r="457" spans="1:12" ht="15" customHeight="1" thickBot="1">
      <c r="A457" s="1021"/>
      <c r="B457" s="4058" t="s">
        <v>293</v>
      </c>
      <c r="C457" s="4058"/>
      <c r="D457" s="802"/>
      <c r="E457" s="685">
        <v>0</v>
      </c>
      <c r="F457" s="685">
        <v>0</v>
      </c>
      <c r="G457" s="686">
        <v>0</v>
      </c>
      <c r="H457" s="567"/>
      <c r="I457" s="685">
        <v>0</v>
      </c>
      <c r="J457" s="687">
        <v>0</v>
      </c>
      <c r="K457" s="450"/>
      <c r="L457" s="688"/>
    </row>
    <row r="458" spans="1:12" ht="16.5" customHeight="1" thickBot="1">
      <c r="A458" s="1063"/>
      <c r="B458" s="794">
        <v>85195</v>
      </c>
      <c r="C458" s="795" t="s">
        <v>312</v>
      </c>
      <c r="D458" s="796"/>
      <c r="E458" s="467">
        <f t="shared" ref="E458:G458" si="184">E459+E466</f>
        <v>30000</v>
      </c>
      <c r="F458" s="467">
        <f t="shared" si="184"/>
        <v>65226</v>
      </c>
      <c r="G458" s="468">
        <f t="shared" si="184"/>
        <v>30000</v>
      </c>
      <c r="H458" s="555">
        <f t="shared" si="167"/>
        <v>1</v>
      </c>
      <c r="I458" s="467">
        <f t="shared" ref="I458:J458" si="185">I459+I466</f>
        <v>0</v>
      </c>
      <c r="J458" s="468">
        <f t="shared" si="185"/>
        <v>30000</v>
      </c>
      <c r="K458" s="238">
        <f t="shared" ref="K458:K521" si="186">J458/F458</f>
        <v>0.45993928801398215</v>
      </c>
      <c r="L458" s="197"/>
    </row>
    <row r="459" spans="1:12" ht="15.75" customHeight="1">
      <c r="A459" s="1063"/>
      <c r="B459" s="4124" t="s">
        <v>288</v>
      </c>
      <c r="C459" s="4124"/>
      <c r="D459" s="798"/>
      <c r="E459" s="677">
        <f>SUM(E462:E464)</f>
        <v>30000</v>
      </c>
      <c r="F459" s="677">
        <f>SUM(F462:F464)</f>
        <v>65226</v>
      </c>
      <c r="G459" s="678">
        <f>SUM(G462:G464)</f>
        <v>30000</v>
      </c>
      <c r="H459" s="559">
        <f t="shared" si="167"/>
        <v>1</v>
      </c>
      <c r="I459" s="677">
        <f>SUM(I462:I464)</f>
        <v>0</v>
      </c>
      <c r="J459" s="473">
        <f>SUM(J462:J464)</f>
        <v>30000</v>
      </c>
      <c r="K459" s="203">
        <f t="shared" si="186"/>
        <v>0.45993928801398215</v>
      </c>
      <c r="L459" s="204"/>
    </row>
    <row r="460" spans="1:12" ht="15" hidden="1" customHeight="1">
      <c r="A460" s="1063"/>
      <c r="B460" s="1082"/>
      <c r="C460" s="1083"/>
      <c r="D460" s="1084"/>
      <c r="E460" s="681"/>
      <c r="F460" s="477"/>
      <c r="G460" s="548"/>
      <c r="H460" s="209" t="e">
        <f t="shared" si="167"/>
        <v>#DIV/0!</v>
      </c>
      <c r="I460" s="252"/>
      <c r="J460" s="211"/>
      <c r="K460" s="212" t="e">
        <f t="shared" si="186"/>
        <v>#DIV/0!</v>
      </c>
      <c r="L460" s="247"/>
    </row>
    <row r="461" spans="1:12" ht="38.25" hidden="1" customHeight="1">
      <c r="A461" s="1063"/>
      <c r="B461" s="1085"/>
      <c r="C461" s="1083" t="s">
        <v>586</v>
      </c>
      <c r="D461" s="800">
        <v>2170</v>
      </c>
      <c r="E461" s="681">
        <v>0</v>
      </c>
      <c r="F461" s="477"/>
      <c r="G461" s="548"/>
      <c r="H461" s="209" t="e">
        <f t="shared" si="167"/>
        <v>#DIV/0!</v>
      </c>
      <c r="I461" s="252"/>
      <c r="J461" s="211"/>
      <c r="K461" s="212" t="e">
        <f t="shared" si="186"/>
        <v>#DIV/0!</v>
      </c>
      <c r="L461" s="247"/>
    </row>
    <row r="462" spans="1:12" s="579" customFormat="1" ht="86.25" customHeight="1">
      <c r="A462" s="1063"/>
      <c r="B462" s="1086"/>
      <c r="C462" s="1087" t="s">
        <v>587</v>
      </c>
      <c r="D462" s="1088" t="s">
        <v>417</v>
      </c>
      <c r="E462" s="1089">
        <v>0</v>
      </c>
      <c r="F462" s="492">
        <v>88</v>
      </c>
      <c r="G462" s="1090">
        <v>0</v>
      </c>
      <c r="H462" s="209"/>
      <c r="I462" s="252">
        <v>0</v>
      </c>
      <c r="J462" s="479">
        <f t="shared" ref="J462:J464" si="187">SUM(G462,I462)</f>
        <v>0</v>
      </c>
      <c r="K462" s="212">
        <f t="shared" si="186"/>
        <v>0</v>
      </c>
      <c r="L462" s="1091"/>
    </row>
    <row r="463" spans="1:12" s="579" customFormat="1" ht="44.25" customHeight="1">
      <c r="A463" s="1063"/>
      <c r="B463" s="1086"/>
      <c r="C463" s="1092" t="s">
        <v>315</v>
      </c>
      <c r="D463" s="800">
        <v>2210</v>
      </c>
      <c r="E463" s="1093">
        <v>30000</v>
      </c>
      <c r="F463" s="492">
        <v>63800</v>
      </c>
      <c r="G463" s="1090">
        <v>30000</v>
      </c>
      <c r="H463" s="209">
        <f t="shared" si="167"/>
        <v>1</v>
      </c>
      <c r="I463" s="252">
        <v>0</v>
      </c>
      <c r="J463" s="479">
        <f t="shared" si="187"/>
        <v>30000</v>
      </c>
      <c r="K463" s="212">
        <f t="shared" si="186"/>
        <v>0.47021943573667713</v>
      </c>
      <c r="L463" s="514"/>
    </row>
    <row r="464" spans="1:12" s="579" customFormat="1" ht="89.25">
      <c r="A464" s="1063"/>
      <c r="B464" s="1094"/>
      <c r="C464" s="1095" t="s">
        <v>588</v>
      </c>
      <c r="D464" s="1096">
        <v>2917</v>
      </c>
      <c r="E464" s="1097">
        <v>0</v>
      </c>
      <c r="F464" s="518">
        <v>1338</v>
      </c>
      <c r="G464" s="717">
        <v>0</v>
      </c>
      <c r="H464" s="626"/>
      <c r="I464" s="215">
        <v>0</v>
      </c>
      <c r="J464" s="479">
        <f t="shared" si="187"/>
        <v>0</v>
      </c>
      <c r="K464" s="212">
        <f t="shared" si="186"/>
        <v>0</v>
      </c>
      <c r="L464" s="1098"/>
    </row>
    <row r="465" spans="1:12" ht="39.75" hidden="1" customHeight="1">
      <c r="A465" s="1063"/>
      <c r="B465" s="1099"/>
      <c r="C465" s="1100" t="s">
        <v>589</v>
      </c>
      <c r="D465" s="1101">
        <v>2957</v>
      </c>
      <c r="E465" s="1102">
        <v>0</v>
      </c>
      <c r="F465" s="230"/>
      <c r="G465" s="231"/>
      <c r="H465" s="209" t="e">
        <f t="shared" si="167"/>
        <v>#DIV/0!</v>
      </c>
      <c r="I465" s="252"/>
      <c r="J465" s="211"/>
      <c r="K465" s="212" t="e">
        <f t="shared" si="186"/>
        <v>#DIV/0!</v>
      </c>
      <c r="L465" s="247"/>
    </row>
    <row r="466" spans="1:12" ht="16.5" customHeight="1" thickBot="1">
      <c r="A466" s="1103"/>
      <c r="B466" s="4067" t="s">
        <v>293</v>
      </c>
      <c r="C466" s="4068"/>
      <c r="D466" s="802"/>
      <c r="E466" s="685">
        <v>0</v>
      </c>
      <c r="F466" s="685">
        <f t="shared" ref="F466" si="188">F467</f>
        <v>0</v>
      </c>
      <c r="G466" s="719">
        <v>0</v>
      </c>
      <c r="H466" s="602"/>
      <c r="I466" s="685">
        <v>0</v>
      </c>
      <c r="J466" s="687">
        <f t="shared" ref="J466" si="189">J467</f>
        <v>0</v>
      </c>
      <c r="K466" s="419"/>
      <c r="L466" s="720"/>
    </row>
    <row r="467" spans="1:12" ht="42" hidden="1" customHeight="1" thickBot="1">
      <c r="A467" s="1104"/>
      <c r="B467" s="1105"/>
      <c r="C467" s="1106" t="s">
        <v>589</v>
      </c>
      <c r="D467" s="1107">
        <v>6697</v>
      </c>
      <c r="E467" s="273">
        <v>0</v>
      </c>
      <c r="F467" s="533"/>
      <c r="G467" s="285"/>
      <c r="H467" s="613" t="e">
        <f t="shared" si="167"/>
        <v>#DIV/0!</v>
      </c>
      <c r="I467" s="273">
        <v>0</v>
      </c>
      <c r="J467" s="534"/>
      <c r="K467" s="234" t="e">
        <f t="shared" si="186"/>
        <v>#DIV/0!</v>
      </c>
      <c r="L467" s="288"/>
    </row>
    <row r="468" spans="1:12" ht="16.5" customHeight="1" thickBot="1">
      <c r="A468" s="786">
        <v>852</v>
      </c>
      <c r="B468" s="787"/>
      <c r="C468" s="788" t="s">
        <v>590</v>
      </c>
      <c r="D468" s="789"/>
      <c r="E468" s="184">
        <f>SUM(E469,E474,E487)</f>
        <v>3728561</v>
      </c>
      <c r="F468" s="184">
        <f>SUM(F469,F474,F487)</f>
        <v>3890244</v>
      </c>
      <c r="G468" s="185">
        <f>SUM(G469,G474,G487)</f>
        <v>336150</v>
      </c>
      <c r="H468" s="186">
        <f t="shared" si="167"/>
        <v>9.0155424572643444E-2</v>
      </c>
      <c r="I468" s="184">
        <f>SUM(I469,I474,I487)</f>
        <v>3971981</v>
      </c>
      <c r="J468" s="185">
        <f>SUM(J469,J474,J487)</f>
        <v>4308131</v>
      </c>
      <c r="K468" s="394">
        <f t="shared" si="186"/>
        <v>1.1074192261462263</v>
      </c>
      <c r="L468" s="832"/>
    </row>
    <row r="469" spans="1:12" ht="15.75" customHeight="1" thickBot="1">
      <c r="A469" s="1108"/>
      <c r="B469" s="794">
        <v>85205</v>
      </c>
      <c r="C469" s="795" t="s">
        <v>591</v>
      </c>
      <c r="D469" s="796"/>
      <c r="E469" s="467">
        <f t="shared" ref="E469:G469" si="190">E470+E473</f>
        <v>100000</v>
      </c>
      <c r="F469" s="467">
        <f t="shared" si="190"/>
        <v>100000</v>
      </c>
      <c r="G469" s="468">
        <f t="shared" si="190"/>
        <v>0</v>
      </c>
      <c r="H469" s="555">
        <f t="shared" si="167"/>
        <v>0</v>
      </c>
      <c r="I469" s="467">
        <f t="shared" ref="I469:J469" si="191">I470+I473</f>
        <v>100000</v>
      </c>
      <c r="J469" s="468">
        <f t="shared" si="191"/>
        <v>100000</v>
      </c>
      <c r="K469" s="238">
        <f t="shared" si="186"/>
        <v>1</v>
      </c>
      <c r="L469" s="197"/>
    </row>
    <row r="470" spans="1:12">
      <c r="A470" s="1109"/>
      <c r="B470" s="4127" t="s">
        <v>288</v>
      </c>
      <c r="C470" s="4127"/>
      <c r="D470" s="1058"/>
      <c r="E470" s="677">
        <f t="shared" ref="E470:G470" si="192">SUM(E471,E472)</f>
        <v>100000</v>
      </c>
      <c r="F470" s="677">
        <f t="shared" si="192"/>
        <v>100000</v>
      </c>
      <c r="G470" s="678">
        <f t="shared" si="192"/>
        <v>0</v>
      </c>
      <c r="H470" s="559">
        <f t="shared" si="167"/>
        <v>0</v>
      </c>
      <c r="I470" s="677">
        <f t="shared" ref="I470:J470" si="193">SUM(I471,I472)</f>
        <v>100000</v>
      </c>
      <c r="J470" s="473">
        <f t="shared" si="193"/>
        <v>100000</v>
      </c>
      <c r="K470" s="203">
        <f t="shared" si="186"/>
        <v>1</v>
      </c>
      <c r="L470" s="204"/>
    </row>
    <row r="471" spans="1:12" ht="26.25" customHeight="1">
      <c r="A471" s="1109"/>
      <c r="B471" s="1110"/>
      <c r="C471" s="1111" t="s">
        <v>592</v>
      </c>
      <c r="D471" s="800">
        <v>2230</v>
      </c>
      <c r="E471" s="681">
        <v>100000</v>
      </c>
      <c r="F471" s="477">
        <v>100000</v>
      </c>
      <c r="G471" s="548">
        <v>0</v>
      </c>
      <c r="H471" s="209">
        <f t="shared" si="167"/>
        <v>0</v>
      </c>
      <c r="I471" s="252">
        <v>100000</v>
      </c>
      <c r="J471" s="479">
        <f t="shared" ref="J471" si="194">SUM(G471,I471)</f>
        <v>100000</v>
      </c>
      <c r="K471" s="212">
        <f t="shared" si="186"/>
        <v>1</v>
      </c>
      <c r="L471" s="253"/>
    </row>
    <row r="472" spans="1:12" ht="51" hidden="1" customHeight="1">
      <c r="A472" s="1112"/>
      <c r="B472" s="1113"/>
      <c r="C472" s="1114" t="s">
        <v>593</v>
      </c>
      <c r="D472" s="1115">
        <v>2910</v>
      </c>
      <c r="E472" s="1116"/>
      <c r="F472" s="477"/>
      <c r="G472" s="548"/>
      <c r="H472" s="209" t="e">
        <f t="shared" si="167"/>
        <v>#DIV/0!</v>
      </c>
      <c r="I472" s="252"/>
      <c r="J472" s="211"/>
      <c r="K472" s="212" t="e">
        <f t="shared" si="186"/>
        <v>#DIV/0!</v>
      </c>
      <c r="L472" s="247"/>
    </row>
    <row r="473" spans="1:12" ht="16.5" customHeight="1" thickBot="1">
      <c r="A473" s="1112"/>
      <c r="B473" s="4128" t="s">
        <v>293</v>
      </c>
      <c r="C473" s="4129"/>
      <c r="D473" s="1117"/>
      <c r="E473" s="685">
        <v>0</v>
      </c>
      <c r="F473" s="685">
        <v>0</v>
      </c>
      <c r="G473" s="686">
        <v>0</v>
      </c>
      <c r="H473" s="567"/>
      <c r="I473" s="685">
        <v>0</v>
      </c>
      <c r="J473" s="687">
        <v>0</v>
      </c>
      <c r="K473" s="450"/>
      <c r="L473" s="259"/>
    </row>
    <row r="474" spans="1:12" ht="16.5" customHeight="1" thickBot="1">
      <c r="A474" s="1112"/>
      <c r="B474" s="1118">
        <v>85217</v>
      </c>
      <c r="C474" s="1023" t="s">
        <v>594</v>
      </c>
      <c r="D474" s="1024"/>
      <c r="E474" s="750">
        <f t="shared" ref="E474:G474" si="195">SUM(E475,E486)</f>
        <v>346219</v>
      </c>
      <c r="F474" s="750">
        <f t="shared" si="195"/>
        <v>346219</v>
      </c>
      <c r="G474" s="842">
        <f t="shared" si="195"/>
        <v>336150</v>
      </c>
      <c r="H474" s="555">
        <f t="shared" si="167"/>
        <v>0.97091725179727284</v>
      </c>
      <c r="I474" s="750">
        <f t="shared" ref="I474:J474" si="196">SUM(I475,I486)</f>
        <v>0</v>
      </c>
      <c r="J474" s="842">
        <f t="shared" si="196"/>
        <v>336150</v>
      </c>
      <c r="K474" s="238">
        <f t="shared" si="186"/>
        <v>0.97091725179727284</v>
      </c>
      <c r="L474" s="197"/>
    </row>
    <row r="475" spans="1:12">
      <c r="A475" s="1112"/>
      <c r="B475" s="4062" t="s">
        <v>288</v>
      </c>
      <c r="C475" s="4124"/>
      <c r="D475" s="1058"/>
      <c r="E475" s="472">
        <f>SUM(E476:E485)</f>
        <v>346219</v>
      </c>
      <c r="F475" s="472">
        <f>SUM(F476:F485)</f>
        <v>346219</v>
      </c>
      <c r="G475" s="473">
        <f>SUM(G476:G485)</f>
        <v>336150</v>
      </c>
      <c r="H475" s="559">
        <f t="shared" si="167"/>
        <v>0.97091725179727284</v>
      </c>
      <c r="I475" s="472">
        <f>SUM(I476:I485)</f>
        <v>0</v>
      </c>
      <c r="J475" s="473">
        <f>SUM(J476:J485)</f>
        <v>336150</v>
      </c>
      <c r="K475" s="203">
        <f t="shared" si="186"/>
        <v>0.97091725179727284</v>
      </c>
      <c r="L475" s="204"/>
    </row>
    <row r="476" spans="1:12" ht="15" hidden="1" customHeight="1">
      <c r="A476" s="1112"/>
      <c r="B476" s="4121"/>
      <c r="C476" s="4123" t="s">
        <v>595</v>
      </c>
      <c r="D476" s="884" t="s">
        <v>596</v>
      </c>
      <c r="E476" s="681"/>
      <c r="F476" s="477"/>
      <c r="G476" s="548"/>
      <c r="H476" s="209" t="e">
        <f t="shared" si="167"/>
        <v>#DIV/0!</v>
      </c>
      <c r="I476" s="252"/>
      <c r="J476" s="211"/>
      <c r="K476" s="212" t="e">
        <f t="shared" si="186"/>
        <v>#DIV/0!</v>
      </c>
      <c r="L476" s="247"/>
    </row>
    <row r="477" spans="1:12" ht="15" hidden="1" customHeight="1">
      <c r="A477" s="1112"/>
      <c r="B477" s="4121"/>
      <c r="C477" s="4123"/>
      <c r="D477" s="884" t="s">
        <v>367</v>
      </c>
      <c r="E477" s="1119"/>
      <c r="F477" s="477"/>
      <c r="G477" s="548"/>
      <c r="H477" s="209" t="e">
        <f t="shared" si="167"/>
        <v>#DIV/0!</v>
      </c>
      <c r="I477" s="252"/>
      <c r="J477" s="211"/>
      <c r="K477" s="212" t="e">
        <f t="shared" si="186"/>
        <v>#DIV/0!</v>
      </c>
      <c r="L477" s="247"/>
    </row>
    <row r="478" spans="1:12">
      <c r="A478" s="1112"/>
      <c r="B478" s="4121"/>
      <c r="C478" s="4123"/>
      <c r="D478" s="884" t="s">
        <v>290</v>
      </c>
      <c r="E478" s="681">
        <v>338223</v>
      </c>
      <c r="F478" s="477">
        <v>338223</v>
      </c>
      <c r="G478" s="548">
        <v>327738</v>
      </c>
      <c r="H478" s="209">
        <f t="shared" ref="H478:H530" si="197">G478/E478</f>
        <v>0.96899974277325907</v>
      </c>
      <c r="I478" s="252">
        <v>0</v>
      </c>
      <c r="J478" s="479">
        <f t="shared" ref="J478:J479" si="198">SUM(G478,I478)</f>
        <v>327738</v>
      </c>
      <c r="K478" s="212">
        <f t="shared" si="186"/>
        <v>0.96899974277325907</v>
      </c>
      <c r="L478" s="253"/>
    </row>
    <row r="479" spans="1:12">
      <c r="A479" s="1112"/>
      <c r="B479" s="4121"/>
      <c r="C479" s="4123"/>
      <c r="D479" s="881" t="s">
        <v>291</v>
      </c>
      <c r="E479" s="681">
        <v>4845</v>
      </c>
      <c r="F479" s="477">
        <v>4845</v>
      </c>
      <c r="G479" s="548">
        <v>4864</v>
      </c>
      <c r="H479" s="209">
        <f t="shared" si="197"/>
        <v>1.003921568627451</v>
      </c>
      <c r="I479" s="252">
        <v>0</v>
      </c>
      <c r="J479" s="479">
        <f t="shared" si="198"/>
        <v>4864</v>
      </c>
      <c r="K479" s="212">
        <f t="shared" si="186"/>
        <v>1.003921568627451</v>
      </c>
      <c r="L479" s="253"/>
    </row>
    <row r="480" spans="1:12" ht="15" hidden="1" customHeight="1">
      <c r="A480" s="1112"/>
      <c r="B480" s="4121"/>
      <c r="C480" s="4123"/>
      <c r="D480" s="884" t="s">
        <v>307</v>
      </c>
      <c r="E480" s="681">
        <v>0</v>
      </c>
      <c r="F480" s="477">
        <v>0</v>
      </c>
      <c r="G480" s="548">
        <v>0</v>
      </c>
      <c r="H480" s="209" t="e">
        <f t="shared" si="197"/>
        <v>#DIV/0!</v>
      </c>
      <c r="I480" s="252"/>
      <c r="J480" s="211"/>
      <c r="K480" s="212" t="e">
        <f t="shared" si="186"/>
        <v>#DIV/0!</v>
      </c>
      <c r="L480" s="253"/>
    </row>
    <row r="481" spans="1:13" ht="15" hidden="1" customHeight="1">
      <c r="A481" s="1112"/>
      <c r="B481" s="4121"/>
      <c r="C481" s="4123"/>
      <c r="D481" s="884" t="s">
        <v>314</v>
      </c>
      <c r="E481" s="681">
        <v>0</v>
      </c>
      <c r="F481" s="477">
        <v>0</v>
      </c>
      <c r="G481" s="548">
        <v>0</v>
      </c>
      <c r="H481" s="209" t="e">
        <f t="shared" si="197"/>
        <v>#DIV/0!</v>
      </c>
      <c r="I481" s="252"/>
      <c r="J481" s="211"/>
      <c r="K481" s="212" t="e">
        <f t="shared" si="186"/>
        <v>#DIV/0!</v>
      </c>
      <c r="L481" s="253"/>
    </row>
    <row r="482" spans="1:13">
      <c r="A482" s="1112"/>
      <c r="B482" s="4121"/>
      <c r="C482" s="4123"/>
      <c r="D482" s="884" t="s">
        <v>292</v>
      </c>
      <c r="E482" s="681">
        <v>3151</v>
      </c>
      <c r="F482" s="477">
        <v>3151</v>
      </c>
      <c r="G482" s="548">
        <v>3548</v>
      </c>
      <c r="H482" s="209">
        <f t="shared" si="197"/>
        <v>1.1259917486512219</v>
      </c>
      <c r="I482" s="252">
        <v>0</v>
      </c>
      <c r="J482" s="479">
        <f t="shared" ref="J482" si="199">SUM(G482,I482)</f>
        <v>3548</v>
      </c>
      <c r="K482" s="212">
        <f t="shared" si="186"/>
        <v>1.1259917486512219</v>
      </c>
      <c r="L482" s="253"/>
    </row>
    <row r="483" spans="1:13" ht="45" hidden="1" customHeight="1">
      <c r="A483" s="1112"/>
      <c r="B483" s="4121"/>
      <c r="C483" s="1120" t="s">
        <v>597</v>
      </c>
      <c r="D483" s="881" t="s">
        <v>340</v>
      </c>
      <c r="E483" s="681"/>
      <c r="F483" s="477"/>
      <c r="G483" s="548"/>
      <c r="H483" s="209" t="e">
        <f t="shared" si="197"/>
        <v>#DIV/0!</v>
      </c>
      <c r="I483" s="252"/>
      <c r="J483" s="211"/>
      <c r="K483" s="212" t="e">
        <f t="shared" si="186"/>
        <v>#DIV/0!</v>
      </c>
      <c r="L483" s="253"/>
    </row>
    <row r="484" spans="1:13" ht="45" hidden="1" customHeight="1">
      <c r="A484" s="1112"/>
      <c r="B484" s="4122"/>
      <c r="C484" s="1120" t="s">
        <v>598</v>
      </c>
      <c r="D484" s="881" t="s">
        <v>309</v>
      </c>
      <c r="E484" s="681">
        <v>0</v>
      </c>
      <c r="F484" s="477">
        <v>0</v>
      </c>
      <c r="G484" s="548">
        <v>0</v>
      </c>
      <c r="H484" s="209" t="e">
        <f t="shared" si="197"/>
        <v>#DIV/0!</v>
      </c>
      <c r="I484" s="252"/>
      <c r="J484" s="211"/>
      <c r="K484" s="212" t="e">
        <f t="shared" si="186"/>
        <v>#DIV/0!</v>
      </c>
      <c r="L484" s="253"/>
    </row>
    <row r="485" spans="1:13" ht="30" hidden="1" customHeight="1">
      <c r="A485" s="1112"/>
      <c r="B485" s="1121"/>
      <c r="C485" s="1120" t="s">
        <v>599</v>
      </c>
      <c r="D485" s="1122" t="s">
        <v>355</v>
      </c>
      <c r="E485" s="681">
        <v>0</v>
      </c>
      <c r="F485" s="477">
        <v>0</v>
      </c>
      <c r="G485" s="548">
        <v>0</v>
      </c>
      <c r="H485" s="209" t="e">
        <f t="shared" si="197"/>
        <v>#DIV/0!</v>
      </c>
      <c r="I485" s="252"/>
      <c r="J485" s="211"/>
      <c r="K485" s="212" t="e">
        <f t="shared" si="186"/>
        <v>#DIV/0!</v>
      </c>
      <c r="L485" s="247"/>
    </row>
    <row r="486" spans="1:13" ht="15.75" thickBot="1">
      <c r="A486" s="1104"/>
      <c r="B486" s="4057" t="s">
        <v>293</v>
      </c>
      <c r="C486" s="4058"/>
      <c r="D486" s="802"/>
      <c r="E486" s="803">
        <v>0</v>
      </c>
      <c r="F486" s="803">
        <v>0</v>
      </c>
      <c r="G486" s="719">
        <v>0</v>
      </c>
      <c r="H486" s="602"/>
      <c r="I486" s="803">
        <v>0</v>
      </c>
      <c r="J486" s="804">
        <v>0</v>
      </c>
      <c r="K486" s="554"/>
      <c r="L486" s="259"/>
    </row>
    <row r="487" spans="1:13" ht="15.75" thickBot="1">
      <c r="A487" s="1123"/>
      <c r="B487" s="880">
        <v>85295</v>
      </c>
      <c r="C487" s="795" t="s">
        <v>312</v>
      </c>
      <c r="D487" s="796"/>
      <c r="E487" s="468">
        <f>E488+E503</f>
        <v>3282342</v>
      </c>
      <c r="F487" s="468">
        <f>F488+F503</f>
        <v>3444025</v>
      </c>
      <c r="G487" s="842">
        <f>G488+G503</f>
        <v>0</v>
      </c>
      <c r="H487" s="555">
        <f t="shared" si="197"/>
        <v>0</v>
      </c>
      <c r="I487" s="468">
        <f>I488+I503</f>
        <v>3871981</v>
      </c>
      <c r="J487" s="842">
        <f>J488+J503</f>
        <v>3871981</v>
      </c>
      <c r="K487" s="238">
        <f t="shared" si="186"/>
        <v>1.1242604220352639</v>
      </c>
      <c r="L487" s="469"/>
    </row>
    <row r="488" spans="1:13">
      <c r="A488" s="1112"/>
      <c r="B488" s="4062" t="s">
        <v>288</v>
      </c>
      <c r="C488" s="4124"/>
      <c r="D488" s="1058"/>
      <c r="E488" s="677">
        <f>SUM(E489:E502)</f>
        <v>3282342</v>
      </c>
      <c r="F488" s="677">
        <f>SUM(F489:F502)</f>
        <v>3434931</v>
      </c>
      <c r="G488" s="678">
        <f>SUM(G489:G502)</f>
        <v>0</v>
      </c>
      <c r="H488" s="559">
        <f t="shared" si="197"/>
        <v>0</v>
      </c>
      <c r="I488" s="677">
        <f>SUM(I489:I502)</f>
        <v>3871981</v>
      </c>
      <c r="J488" s="473">
        <f>SUM(J489:J502)</f>
        <v>3871981</v>
      </c>
      <c r="K488" s="203">
        <f t="shared" si="186"/>
        <v>1.1272369081067422</v>
      </c>
      <c r="L488" s="474"/>
    </row>
    <row r="489" spans="1:13" ht="42.75" customHeight="1">
      <c r="A489" s="1112"/>
      <c r="B489" s="1124"/>
      <c r="C489" s="1125" t="s">
        <v>600</v>
      </c>
      <c r="D489" s="4125">
        <v>2007</v>
      </c>
      <c r="E489" s="681">
        <v>1681242</v>
      </c>
      <c r="F489" s="477">
        <v>1884288</v>
      </c>
      <c r="G489" s="548">
        <v>0</v>
      </c>
      <c r="H489" s="209">
        <f t="shared" si="197"/>
        <v>0</v>
      </c>
      <c r="I489" s="252">
        <v>2391539</v>
      </c>
      <c r="J489" s="479">
        <f t="shared" ref="J489" si="200">SUM(G489,I489)</f>
        <v>2391539</v>
      </c>
      <c r="K489" s="212">
        <f t="shared" si="186"/>
        <v>1.2692003557842537</v>
      </c>
      <c r="L489" s="494"/>
    </row>
    <row r="490" spans="1:13" ht="39" hidden="1" customHeight="1">
      <c r="A490" s="1112"/>
      <c r="B490" s="1126"/>
      <c r="C490" s="1127" t="s">
        <v>601</v>
      </c>
      <c r="D490" s="4126"/>
      <c r="E490" s="1128">
        <v>0</v>
      </c>
      <c r="F490" s="477"/>
      <c r="G490" s="548"/>
      <c r="H490" s="209" t="e">
        <f t="shared" si="197"/>
        <v>#DIV/0!</v>
      </c>
      <c r="I490" s="252"/>
      <c r="J490" s="211"/>
      <c r="K490" s="212" t="e">
        <f t="shared" si="186"/>
        <v>#DIV/0!</v>
      </c>
      <c r="L490" s="1040"/>
    </row>
    <row r="491" spans="1:13" ht="42.75" customHeight="1">
      <c r="A491" s="1112"/>
      <c r="B491" s="1126"/>
      <c r="C491" s="1125" t="s">
        <v>602</v>
      </c>
      <c r="D491" s="4125">
        <v>2009</v>
      </c>
      <c r="E491" s="702">
        <v>313588</v>
      </c>
      <c r="F491" s="477">
        <v>88582</v>
      </c>
      <c r="G491" s="548">
        <v>0</v>
      </c>
      <c r="H491" s="209">
        <f t="shared" si="197"/>
        <v>0</v>
      </c>
      <c r="I491" s="252">
        <v>414979</v>
      </c>
      <c r="J491" s="479">
        <f t="shared" ref="J491" si="201">SUM(G491,I491)</f>
        <v>414979</v>
      </c>
      <c r="K491" s="212">
        <f t="shared" si="186"/>
        <v>4.68468763405658</v>
      </c>
      <c r="L491" s="494"/>
      <c r="M491" s="156"/>
    </row>
    <row r="492" spans="1:13" ht="38.25" hidden="1" customHeight="1">
      <c r="A492" s="1112"/>
      <c r="B492" s="1126"/>
      <c r="C492" s="1125" t="s">
        <v>603</v>
      </c>
      <c r="D492" s="4126"/>
      <c r="E492" s="681">
        <v>0</v>
      </c>
      <c r="F492" s="477"/>
      <c r="G492" s="548"/>
      <c r="H492" s="209" t="e">
        <f t="shared" si="197"/>
        <v>#DIV/0!</v>
      </c>
      <c r="I492" s="252"/>
      <c r="J492" s="211"/>
      <c r="K492" s="212" t="e">
        <f t="shared" si="186"/>
        <v>#DIV/0!</v>
      </c>
      <c r="L492" s="494"/>
      <c r="M492" s="156"/>
    </row>
    <row r="493" spans="1:13" ht="43.5" customHeight="1">
      <c r="A493" s="1112"/>
      <c r="B493" s="1126"/>
      <c r="C493" s="1129" t="s">
        <v>600</v>
      </c>
      <c r="D493" s="1039">
        <v>2057</v>
      </c>
      <c r="E493" s="681">
        <v>1085115</v>
      </c>
      <c r="F493" s="477">
        <v>1076738</v>
      </c>
      <c r="G493" s="548">
        <v>0</v>
      </c>
      <c r="H493" s="209">
        <f t="shared" si="197"/>
        <v>0</v>
      </c>
      <c r="I493" s="252">
        <v>897972</v>
      </c>
      <c r="J493" s="479">
        <f t="shared" ref="J493:J502" si="202">SUM(G493,I493)</f>
        <v>897972</v>
      </c>
      <c r="K493" s="212">
        <f t="shared" si="186"/>
        <v>0.83397446732631342</v>
      </c>
      <c r="L493" s="494"/>
    </row>
    <row r="494" spans="1:13" ht="51" hidden="1" customHeight="1">
      <c r="A494" s="1112"/>
      <c r="B494" s="1126"/>
      <c r="C494" s="1130" t="s">
        <v>604</v>
      </c>
      <c r="D494" s="1131"/>
      <c r="E494" s="702">
        <v>0</v>
      </c>
      <c r="F494" s="703"/>
      <c r="G494" s="704"/>
      <c r="H494" s="626" t="e">
        <f t="shared" si="197"/>
        <v>#DIV/0!</v>
      </c>
      <c r="I494" s="215"/>
      <c r="J494" s="479">
        <f t="shared" si="202"/>
        <v>0</v>
      </c>
      <c r="K494" s="212" t="e">
        <f t="shared" si="186"/>
        <v>#DIV/0!</v>
      </c>
      <c r="L494" s="718"/>
    </row>
    <row r="495" spans="1:13" ht="38.25" hidden="1" customHeight="1" thickBot="1">
      <c r="A495" s="1112"/>
      <c r="B495" s="1126"/>
      <c r="C495" s="1132" t="s">
        <v>605</v>
      </c>
      <c r="D495" s="1131"/>
      <c r="E495" s="698">
        <v>0</v>
      </c>
      <c r="F495" s="699"/>
      <c r="G495" s="700"/>
      <c r="H495" s="635" t="e">
        <f t="shared" si="197"/>
        <v>#DIV/0!</v>
      </c>
      <c r="I495" s="426"/>
      <c r="J495" s="479">
        <f t="shared" si="202"/>
        <v>0</v>
      </c>
      <c r="K495" s="212" t="e">
        <f t="shared" si="186"/>
        <v>#DIV/0!</v>
      </c>
      <c r="L495" s="1133"/>
    </row>
    <row r="496" spans="1:13" ht="43.5" customHeight="1">
      <c r="A496" s="1112"/>
      <c r="B496" s="1126"/>
      <c r="C496" s="1132" t="s">
        <v>606</v>
      </c>
      <c r="D496" s="4108" t="s">
        <v>448</v>
      </c>
      <c r="E496" s="681">
        <v>202397</v>
      </c>
      <c r="F496" s="477">
        <v>200835</v>
      </c>
      <c r="G496" s="548">
        <v>0</v>
      </c>
      <c r="H496" s="209">
        <f t="shared" si="197"/>
        <v>0</v>
      </c>
      <c r="I496" s="252">
        <v>167491</v>
      </c>
      <c r="J496" s="479">
        <f t="shared" si="202"/>
        <v>167491</v>
      </c>
      <c r="K496" s="212">
        <f t="shared" si="186"/>
        <v>0.83397316204844774</v>
      </c>
      <c r="L496" s="494"/>
    </row>
    <row r="497" spans="1:12" ht="55.5" hidden="1" customHeight="1">
      <c r="A497" s="1112"/>
      <c r="B497" s="1126"/>
      <c r="C497" s="1129" t="s">
        <v>607</v>
      </c>
      <c r="D497" s="4109"/>
      <c r="E497" s="681">
        <v>0</v>
      </c>
      <c r="F497" s="477"/>
      <c r="G497" s="548"/>
      <c r="H497" s="209" t="e">
        <f t="shared" si="197"/>
        <v>#DIV/0!</v>
      </c>
      <c r="I497" s="252"/>
      <c r="J497" s="479">
        <f t="shared" si="202"/>
        <v>0</v>
      </c>
      <c r="K497" s="212" t="e">
        <f t="shared" si="186"/>
        <v>#DIV/0!</v>
      </c>
      <c r="L497" s="1040"/>
    </row>
    <row r="498" spans="1:12" ht="39.75" hidden="1" customHeight="1">
      <c r="A498" s="1112"/>
      <c r="B498" s="1126"/>
      <c r="C498" s="1120" t="s">
        <v>608</v>
      </c>
      <c r="D498" s="1134" t="s">
        <v>448</v>
      </c>
      <c r="E498" s="702">
        <v>0</v>
      </c>
      <c r="F498" s="477"/>
      <c r="G498" s="548"/>
      <c r="H498" s="209" t="e">
        <f t="shared" si="197"/>
        <v>#DIV/0!</v>
      </c>
      <c r="I498" s="252"/>
      <c r="J498" s="479">
        <f t="shared" si="202"/>
        <v>0</v>
      </c>
      <c r="K498" s="212" t="e">
        <f t="shared" si="186"/>
        <v>#DIV/0!</v>
      </c>
      <c r="L498" s="1040"/>
    </row>
    <row r="499" spans="1:12" ht="20.25" customHeight="1">
      <c r="A499" s="1112"/>
      <c r="B499" s="1126"/>
      <c r="C499" s="4110" t="s">
        <v>609</v>
      </c>
      <c r="D499" s="884" t="s">
        <v>610</v>
      </c>
      <c r="E499" s="681">
        <v>0</v>
      </c>
      <c r="F499" s="477">
        <v>14568</v>
      </c>
      <c r="G499" s="548">
        <v>0</v>
      </c>
      <c r="H499" s="209"/>
      <c r="I499" s="252">
        <v>0</v>
      </c>
      <c r="J499" s="479">
        <f t="shared" si="202"/>
        <v>0</v>
      </c>
      <c r="K499" s="212">
        <f t="shared" si="186"/>
        <v>0</v>
      </c>
      <c r="L499" s="494"/>
    </row>
    <row r="500" spans="1:12" ht="18.75" customHeight="1">
      <c r="A500" s="1112"/>
      <c r="B500" s="1126"/>
      <c r="C500" s="4111"/>
      <c r="D500" s="884" t="s">
        <v>565</v>
      </c>
      <c r="E500" s="681">
        <v>0</v>
      </c>
      <c r="F500" s="477">
        <v>2199</v>
      </c>
      <c r="G500" s="548">
        <v>0</v>
      </c>
      <c r="H500" s="209"/>
      <c r="I500" s="252">
        <v>0</v>
      </c>
      <c r="J500" s="479">
        <f t="shared" si="202"/>
        <v>0</v>
      </c>
      <c r="K500" s="212">
        <f t="shared" si="186"/>
        <v>0</v>
      </c>
      <c r="L500" s="253"/>
    </row>
    <row r="501" spans="1:12" ht="63.75">
      <c r="A501" s="1112"/>
      <c r="B501" s="1126"/>
      <c r="C501" s="1135" t="s">
        <v>335</v>
      </c>
      <c r="D501" s="1136" t="s">
        <v>564</v>
      </c>
      <c r="E501" s="681">
        <v>0</v>
      </c>
      <c r="F501" s="477">
        <v>4551</v>
      </c>
      <c r="G501" s="548">
        <v>0</v>
      </c>
      <c r="H501" s="209"/>
      <c r="I501" s="252">
        <v>0</v>
      </c>
      <c r="J501" s="479">
        <f t="shared" si="202"/>
        <v>0</v>
      </c>
      <c r="K501" s="212">
        <f t="shared" si="186"/>
        <v>0</v>
      </c>
      <c r="L501" s="247"/>
    </row>
    <row r="502" spans="1:12" ht="55.5" customHeight="1">
      <c r="A502" s="1112"/>
      <c r="B502" s="1137"/>
      <c r="C502" s="1138" t="s">
        <v>333</v>
      </c>
      <c r="D502" s="1122" t="s">
        <v>565</v>
      </c>
      <c r="E502" s="1139">
        <v>0</v>
      </c>
      <c r="F502" s="703">
        <v>163170</v>
      </c>
      <c r="G502" s="704">
        <v>0</v>
      </c>
      <c r="H502" s="626"/>
      <c r="I502" s="215">
        <v>0</v>
      </c>
      <c r="J502" s="479">
        <f t="shared" si="202"/>
        <v>0</v>
      </c>
      <c r="K502" s="212">
        <f t="shared" si="186"/>
        <v>0</v>
      </c>
      <c r="L502" s="437"/>
    </row>
    <row r="503" spans="1:12">
      <c r="A503" s="1112"/>
      <c r="B503" s="4112" t="s">
        <v>334</v>
      </c>
      <c r="C503" s="4113"/>
      <c r="D503" s="1140"/>
      <c r="E503" s="487">
        <f>SUM(E504:E507)</f>
        <v>0</v>
      </c>
      <c r="F503" s="487">
        <f t="shared" ref="F503" si="203">SUM(F504:F507)</f>
        <v>9094</v>
      </c>
      <c r="G503" s="488">
        <f>SUM(G504:G507)</f>
        <v>0</v>
      </c>
      <c r="H503" s="430"/>
      <c r="I503" s="487">
        <f>SUM(I504:I507)</f>
        <v>0</v>
      </c>
      <c r="J503" s="488">
        <f t="shared" ref="J503" si="204">SUM(J504:J507)</f>
        <v>0</v>
      </c>
      <c r="K503" s="419">
        <f t="shared" si="186"/>
        <v>0</v>
      </c>
      <c r="L503" s="489"/>
    </row>
    <row r="504" spans="1:12" ht="38.25" hidden="1" customHeight="1">
      <c r="A504" s="1112"/>
      <c r="B504" s="4114"/>
      <c r="C504" s="1141" t="s">
        <v>611</v>
      </c>
      <c r="D504" s="1142">
        <v>6207</v>
      </c>
      <c r="E504" s="681"/>
      <c r="F504" s="477"/>
      <c r="G504" s="548"/>
      <c r="H504" s="209"/>
      <c r="I504" s="252"/>
      <c r="J504" s="211"/>
      <c r="K504" s="212" t="e">
        <f t="shared" si="186"/>
        <v>#DIV/0!</v>
      </c>
      <c r="L504" s="1040"/>
    </row>
    <row r="505" spans="1:12" s="931" customFormat="1" ht="38.25" hidden="1" customHeight="1" thickBot="1">
      <c r="A505" s="1112"/>
      <c r="B505" s="4115"/>
      <c r="C505" s="824" t="s">
        <v>612</v>
      </c>
      <c r="D505" s="800">
        <v>6209</v>
      </c>
      <c r="E505" s="681"/>
      <c r="F505" s="1050"/>
      <c r="G505" s="1051"/>
      <c r="H505" s="209"/>
      <c r="I505" s="252"/>
      <c r="J505" s="211"/>
      <c r="K505" s="212" t="e">
        <f t="shared" si="186"/>
        <v>#DIV/0!</v>
      </c>
      <c r="L505" s="1040"/>
    </row>
    <row r="506" spans="1:12" ht="66" customHeight="1">
      <c r="A506" s="1112"/>
      <c r="B506" s="4115"/>
      <c r="C506" s="1143" t="s">
        <v>335</v>
      </c>
      <c r="D506" s="1096">
        <v>6669</v>
      </c>
      <c r="E506" s="698">
        <v>0</v>
      </c>
      <c r="F506" s="477">
        <v>687</v>
      </c>
      <c r="G506" s="700">
        <v>0</v>
      </c>
      <c r="H506" s="209"/>
      <c r="I506" s="252">
        <v>0</v>
      </c>
      <c r="J506" s="479">
        <f t="shared" ref="J506:J507" si="205">SUM(G506,I506)</f>
        <v>0</v>
      </c>
      <c r="K506" s="212">
        <f t="shared" si="186"/>
        <v>0</v>
      </c>
      <c r="L506" s="1040"/>
    </row>
    <row r="507" spans="1:12" ht="52.5" customHeight="1" thickBot="1">
      <c r="A507" s="1104"/>
      <c r="B507" s="4116"/>
      <c r="C507" s="1144" t="s">
        <v>613</v>
      </c>
      <c r="D507" s="1145">
        <v>6699</v>
      </c>
      <c r="E507" s="1128">
        <v>0</v>
      </c>
      <c r="F507" s="1146">
        <v>8407</v>
      </c>
      <c r="G507" s="1147">
        <v>0</v>
      </c>
      <c r="H507" s="355"/>
      <c r="I507" s="356">
        <v>0</v>
      </c>
      <c r="J507" s="592">
        <f t="shared" si="205"/>
        <v>0</v>
      </c>
      <c r="K507" s="358">
        <f t="shared" si="186"/>
        <v>0</v>
      </c>
      <c r="L507" s="1148"/>
    </row>
    <row r="508" spans="1:12" s="156" customFormat="1" ht="16.5" customHeight="1" thickBot="1">
      <c r="A508" s="844">
        <v>853</v>
      </c>
      <c r="B508" s="845"/>
      <c r="C508" s="846" t="s">
        <v>614</v>
      </c>
      <c r="D508" s="847"/>
      <c r="E508" s="322">
        <f>SUM(E509,E515,E520,E532)</f>
        <v>6358118</v>
      </c>
      <c r="F508" s="322">
        <f>SUM(F509,F515,F520,F532)</f>
        <v>16391381</v>
      </c>
      <c r="G508" s="322">
        <f>SUM(G509,G515,G520,G532)</f>
        <v>5784227</v>
      </c>
      <c r="H508" s="574">
        <f t="shared" si="197"/>
        <v>0.90973885668683718</v>
      </c>
      <c r="I508" s="322">
        <f>SUM(I509,I515,I520,I532)</f>
        <v>0</v>
      </c>
      <c r="J508" s="322">
        <f>SUM(J509,J515,J520,J532)</f>
        <v>5784227</v>
      </c>
      <c r="K508" s="187">
        <f t="shared" si="186"/>
        <v>0.35288222511574835</v>
      </c>
      <c r="L508" s="323"/>
    </row>
    <row r="509" spans="1:12" ht="26.25" hidden="1" thickBot="1">
      <c r="A509" s="1149"/>
      <c r="B509" s="1150">
        <v>85311</v>
      </c>
      <c r="C509" s="1151" t="s">
        <v>615</v>
      </c>
      <c r="D509" s="1152"/>
      <c r="E509" s="1153">
        <f>SUM(E510,E514)</f>
        <v>0</v>
      </c>
      <c r="F509" s="1153">
        <f t="shared" ref="F509:G509" si="206">SUM(F510,F514)</f>
        <v>0</v>
      </c>
      <c r="G509" s="1154">
        <f t="shared" si="206"/>
        <v>0</v>
      </c>
      <c r="H509" s="626" t="e">
        <f t="shared" si="197"/>
        <v>#DIV/0!</v>
      </c>
      <c r="I509" s="1154">
        <f t="shared" ref="I509:J509" si="207">SUM(I510,I514)</f>
        <v>0</v>
      </c>
      <c r="J509" s="1154">
        <f t="shared" si="207"/>
        <v>0</v>
      </c>
      <c r="K509" s="375" t="e">
        <f t="shared" si="186"/>
        <v>#DIV/0!</v>
      </c>
      <c r="L509" s="197"/>
    </row>
    <row r="510" spans="1:12" ht="15" hidden="1" customHeight="1">
      <c r="A510" s="1155"/>
      <c r="B510" s="4074" t="s">
        <v>288</v>
      </c>
      <c r="C510" s="4074"/>
      <c r="D510" s="851"/>
      <c r="E510" s="628">
        <f>SUM(E511:E513)</f>
        <v>0</v>
      </c>
      <c r="F510" s="628">
        <f t="shared" ref="F510" si="208">SUM(F511:F513)</f>
        <v>0</v>
      </c>
      <c r="G510" s="963">
        <f>SUM(G511:G513)</f>
        <v>0</v>
      </c>
      <c r="H510" s="209" t="e">
        <f t="shared" si="197"/>
        <v>#DIV/0!</v>
      </c>
      <c r="I510" s="963">
        <f>SUM(I511:I513)</f>
        <v>0</v>
      </c>
      <c r="J510" s="963">
        <f>SUM(J511:J513)</f>
        <v>0</v>
      </c>
      <c r="K510" s="212" t="e">
        <f t="shared" si="186"/>
        <v>#DIV/0!</v>
      </c>
      <c r="L510" s="204"/>
    </row>
    <row r="511" spans="1:12" ht="81.75" hidden="1" customHeight="1">
      <c r="A511" s="1155"/>
      <c r="B511" s="4117"/>
      <c r="C511" s="1156" t="s">
        <v>616</v>
      </c>
      <c r="D511" s="1157" t="s">
        <v>340</v>
      </c>
      <c r="E511" s="268">
        <v>0</v>
      </c>
      <c r="F511" s="230">
        <v>0</v>
      </c>
      <c r="G511" s="231">
        <v>0</v>
      </c>
      <c r="H511" s="209" t="e">
        <f t="shared" si="197"/>
        <v>#DIV/0!</v>
      </c>
      <c r="I511" s="231">
        <v>0</v>
      </c>
      <c r="J511" s="231">
        <v>0</v>
      </c>
      <c r="K511" s="212" t="e">
        <f t="shared" si="186"/>
        <v>#DIV/0!</v>
      </c>
      <c r="L511" s="247"/>
    </row>
    <row r="512" spans="1:12" ht="50.1" hidden="1" customHeight="1">
      <c r="A512" s="1155"/>
      <c r="B512" s="4118"/>
      <c r="C512" s="4119" t="s">
        <v>617</v>
      </c>
      <c r="D512" s="1157" t="s">
        <v>309</v>
      </c>
      <c r="E512" s="632">
        <v>0</v>
      </c>
      <c r="F512" s="230">
        <v>0</v>
      </c>
      <c r="G512" s="231">
        <v>0</v>
      </c>
      <c r="H512" s="209" t="e">
        <f t="shared" si="197"/>
        <v>#DIV/0!</v>
      </c>
      <c r="I512" s="231">
        <v>0</v>
      </c>
      <c r="J512" s="231">
        <v>0</v>
      </c>
      <c r="K512" s="212" t="e">
        <f t="shared" si="186"/>
        <v>#DIV/0!</v>
      </c>
      <c r="L512" s="247"/>
    </row>
    <row r="513" spans="1:12" ht="45" hidden="1" customHeight="1">
      <c r="A513" s="1155"/>
      <c r="B513" s="1158"/>
      <c r="C513" s="4120"/>
      <c r="D513" s="1157" t="s">
        <v>355</v>
      </c>
      <c r="E513" s="632">
        <v>0</v>
      </c>
      <c r="F513" s="230">
        <v>0</v>
      </c>
      <c r="G513" s="231">
        <v>0</v>
      </c>
      <c r="H513" s="209" t="e">
        <f t="shared" si="197"/>
        <v>#DIV/0!</v>
      </c>
      <c r="I513" s="231">
        <v>0</v>
      </c>
      <c r="J513" s="231">
        <v>0</v>
      </c>
      <c r="K513" s="212" t="e">
        <f t="shared" si="186"/>
        <v>#DIV/0!</v>
      </c>
      <c r="L513" s="247"/>
    </row>
    <row r="514" spans="1:12" ht="15" hidden="1" customHeight="1" thickBot="1">
      <c r="A514" s="1159"/>
      <c r="B514" s="4106" t="s">
        <v>293</v>
      </c>
      <c r="C514" s="4081"/>
      <c r="D514" s="885"/>
      <c r="E514" s="1160">
        <v>0</v>
      </c>
      <c r="F514" s="1160">
        <v>0</v>
      </c>
      <c r="G514" s="1161">
        <v>0</v>
      </c>
      <c r="H514" s="635" t="e">
        <f t="shared" si="197"/>
        <v>#DIV/0!</v>
      </c>
      <c r="I514" s="1161">
        <v>0</v>
      </c>
      <c r="J514" s="1161">
        <v>0</v>
      </c>
      <c r="K514" s="234" t="e">
        <f t="shared" si="186"/>
        <v>#DIV/0!</v>
      </c>
      <c r="L514" s="451"/>
    </row>
    <row r="515" spans="1:12" ht="25.5" customHeight="1" thickBot="1">
      <c r="A515" s="1149"/>
      <c r="B515" s="794">
        <v>85324</v>
      </c>
      <c r="C515" s="795" t="s">
        <v>618</v>
      </c>
      <c r="D515" s="1162"/>
      <c r="E515" s="841">
        <v>619561</v>
      </c>
      <c r="F515" s="842">
        <f>F516+F519</f>
        <v>819561</v>
      </c>
      <c r="G515" s="842">
        <f>G516+G519</f>
        <v>669799</v>
      </c>
      <c r="H515" s="555">
        <f t="shared" si="197"/>
        <v>1.0810864466937073</v>
      </c>
      <c r="I515" s="842">
        <f>I516+I519</f>
        <v>0</v>
      </c>
      <c r="J515" s="842">
        <f>J516+J519</f>
        <v>669799</v>
      </c>
      <c r="K515" s="238">
        <f t="shared" si="186"/>
        <v>0.81726558486799639</v>
      </c>
      <c r="L515" s="469"/>
    </row>
    <row r="516" spans="1:12" ht="16.5" customHeight="1">
      <c r="A516" s="1155"/>
      <c r="B516" s="4093" t="s">
        <v>288</v>
      </c>
      <c r="C516" s="4093"/>
      <c r="D516" s="820"/>
      <c r="E516" s="677">
        <v>619561</v>
      </c>
      <c r="F516" s="677">
        <f>SUM(F517:F518)</f>
        <v>819561</v>
      </c>
      <c r="G516" s="678">
        <f t="shared" ref="G516:J516" si="209">SUM(G517,G519)</f>
        <v>669799</v>
      </c>
      <c r="H516" s="559">
        <f t="shared" si="197"/>
        <v>1.0810864466937073</v>
      </c>
      <c r="I516" s="678">
        <f t="shared" si="209"/>
        <v>0</v>
      </c>
      <c r="J516" s="473">
        <f t="shared" si="209"/>
        <v>669799</v>
      </c>
      <c r="K516" s="203">
        <f t="shared" si="186"/>
        <v>0.81726558486799639</v>
      </c>
      <c r="L516" s="474"/>
    </row>
    <row r="517" spans="1:12" ht="29.25" customHeight="1">
      <c r="A517" s="1155"/>
      <c r="B517" s="1163"/>
      <c r="C517" s="1164" t="s">
        <v>619</v>
      </c>
      <c r="D517" s="881" t="s">
        <v>292</v>
      </c>
      <c r="E517" s="681">
        <v>619561</v>
      </c>
      <c r="F517" s="477">
        <v>619561</v>
      </c>
      <c r="G517" s="548">
        <v>669799</v>
      </c>
      <c r="H517" s="209">
        <f t="shared" si="197"/>
        <v>1.0810864466937073</v>
      </c>
      <c r="I517" s="252">
        <v>0</v>
      </c>
      <c r="J517" s="479">
        <f t="shared" ref="J517:J518" si="210">SUM(G517,I517)</f>
        <v>669799</v>
      </c>
      <c r="K517" s="212">
        <f t="shared" si="186"/>
        <v>1.0810864466937073</v>
      </c>
      <c r="L517" s="494"/>
    </row>
    <row r="518" spans="1:12" ht="42.75" customHeight="1">
      <c r="A518" s="1155"/>
      <c r="B518" s="1165"/>
      <c r="C518" s="826" t="s">
        <v>348</v>
      </c>
      <c r="D518" s="884" t="s">
        <v>349</v>
      </c>
      <c r="E518" s="698">
        <v>0</v>
      </c>
      <c r="F518" s="699">
        <v>200000</v>
      </c>
      <c r="G518" s="700">
        <v>0</v>
      </c>
      <c r="H518" s="209"/>
      <c r="I518" s="252">
        <v>0</v>
      </c>
      <c r="J518" s="479">
        <f t="shared" si="210"/>
        <v>0</v>
      </c>
      <c r="K518" s="212">
        <f t="shared" si="186"/>
        <v>0</v>
      </c>
      <c r="L518" s="1133"/>
    </row>
    <row r="519" spans="1:12" ht="15.75" thickBot="1">
      <c r="A519" s="1155"/>
      <c r="B519" s="4058" t="s">
        <v>293</v>
      </c>
      <c r="C519" s="4058"/>
      <c r="D519" s="802"/>
      <c r="E519" s="685">
        <v>0</v>
      </c>
      <c r="F519" s="685">
        <v>0</v>
      </c>
      <c r="G519" s="686">
        <v>0</v>
      </c>
      <c r="H519" s="567"/>
      <c r="I519" s="685">
        <v>0</v>
      </c>
      <c r="J519" s="687">
        <v>0</v>
      </c>
      <c r="K519" s="450"/>
      <c r="L519" s="688"/>
    </row>
    <row r="520" spans="1:12" ht="15.75" thickBot="1">
      <c r="A520" s="1155"/>
      <c r="B520" s="900">
        <v>85332</v>
      </c>
      <c r="C520" s="901" t="s">
        <v>620</v>
      </c>
      <c r="D520" s="1166"/>
      <c r="E520" s="659">
        <f>SUM(E521,E531)</f>
        <v>5687073</v>
      </c>
      <c r="F520" s="659">
        <f>SUM(F521,F531)</f>
        <v>15499037</v>
      </c>
      <c r="G520" s="237">
        <f>SUM(G521,G531)</f>
        <v>5114428</v>
      </c>
      <c r="H520" s="555">
        <f t="shared" si="197"/>
        <v>0.89930760515998298</v>
      </c>
      <c r="I520" s="659">
        <f>SUM(I521,I531)</f>
        <v>0</v>
      </c>
      <c r="J520" s="237">
        <f>SUM(J521,J531)</f>
        <v>5114428</v>
      </c>
      <c r="K520" s="238">
        <f t="shared" si="186"/>
        <v>0.32998359833581919</v>
      </c>
      <c r="L520" s="290"/>
    </row>
    <row r="521" spans="1:12">
      <c r="A521" s="1155"/>
      <c r="B521" s="4082" t="s">
        <v>288</v>
      </c>
      <c r="C521" s="4082"/>
      <c r="D521" s="1000"/>
      <c r="E521" s="240">
        <f>SUM(E522:E527)</f>
        <v>5687073</v>
      </c>
      <c r="F521" s="240">
        <f>SUM(F522:F527)</f>
        <v>15499037</v>
      </c>
      <c r="G521" s="241">
        <f>SUM(G522:G527)</f>
        <v>5114428</v>
      </c>
      <c r="H521" s="559">
        <f t="shared" si="197"/>
        <v>0.89930760515998298</v>
      </c>
      <c r="I521" s="240">
        <f>SUM(I522:I527)</f>
        <v>0</v>
      </c>
      <c r="J521" s="241">
        <f>SUM(J522:J527)</f>
        <v>5114428</v>
      </c>
      <c r="K521" s="203">
        <f t="shared" si="186"/>
        <v>0.32998359833581919</v>
      </c>
      <c r="L521" s="294"/>
    </row>
    <row r="522" spans="1:12" ht="21" customHeight="1">
      <c r="A522" s="1155"/>
      <c r="B522" s="1167"/>
      <c r="C522" s="4107" t="s">
        <v>492</v>
      </c>
      <c r="D522" s="978" t="s">
        <v>621</v>
      </c>
      <c r="E522" s="206">
        <v>0</v>
      </c>
      <c r="F522" s="207">
        <v>374</v>
      </c>
      <c r="G522" s="208">
        <v>0</v>
      </c>
      <c r="H522" s="209"/>
      <c r="I522" s="252">
        <v>0</v>
      </c>
      <c r="J522" s="479">
        <f t="shared" ref="J522:J527" si="211">SUM(G522,I522)</f>
        <v>0</v>
      </c>
      <c r="K522" s="212">
        <f t="shared" ref="K522:K583" si="212">J522/F522</f>
        <v>0</v>
      </c>
      <c r="L522" s="300"/>
    </row>
    <row r="523" spans="1:12">
      <c r="A523" s="1155"/>
      <c r="B523" s="1167"/>
      <c r="C523" s="4087"/>
      <c r="D523" s="978" t="s">
        <v>292</v>
      </c>
      <c r="E523" s="206">
        <v>8400</v>
      </c>
      <c r="F523" s="207">
        <v>8400</v>
      </c>
      <c r="G523" s="208">
        <v>7668</v>
      </c>
      <c r="H523" s="209">
        <f t="shared" si="197"/>
        <v>0.91285714285714281</v>
      </c>
      <c r="I523" s="252">
        <v>0</v>
      </c>
      <c r="J523" s="479">
        <f t="shared" si="211"/>
        <v>7668</v>
      </c>
      <c r="K523" s="212">
        <f t="shared" si="212"/>
        <v>0.91285714285714281</v>
      </c>
      <c r="L523" s="300"/>
    </row>
    <row r="524" spans="1:12" ht="38.25">
      <c r="A524" s="1155"/>
      <c r="B524" s="1167"/>
      <c r="C524" s="1168" t="s">
        <v>622</v>
      </c>
      <c r="D524" s="1169" t="s">
        <v>623</v>
      </c>
      <c r="E524" s="206">
        <v>848000</v>
      </c>
      <c r="F524" s="207">
        <v>9105000</v>
      </c>
      <c r="G524" s="208">
        <v>0</v>
      </c>
      <c r="H524" s="209">
        <f t="shared" si="197"/>
        <v>0</v>
      </c>
      <c r="I524" s="252">
        <v>0</v>
      </c>
      <c r="J524" s="479">
        <f t="shared" si="211"/>
        <v>0</v>
      </c>
      <c r="K524" s="212">
        <f t="shared" si="212"/>
        <v>0</v>
      </c>
      <c r="L524" s="300"/>
    </row>
    <row r="525" spans="1:12" ht="38.25">
      <c r="A525" s="1155"/>
      <c r="B525" s="1167"/>
      <c r="C525" s="1168" t="s">
        <v>624</v>
      </c>
      <c r="D525" s="1170" t="s">
        <v>437</v>
      </c>
      <c r="E525" s="206">
        <v>3477673</v>
      </c>
      <c r="F525" s="207">
        <v>3477673</v>
      </c>
      <c r="G525" s="208">
        <v>3539760</v>
      </c>
      <c r="H525" s="209">
        <f t="shared" si="197"/>
        <v>1.0178530298852135</v>
      </c>
      <c r="I525" s="252">
        <v>0</v>
      </c>
      <c r="J525" s="479">
        <f t="shared" si="211"/>
        <v>3539760</v>
      </c>
      <c r="K525" s="212">
        <f t="shared" si="212"/>
        <v>1.0178530298852135</v>
      </c>
      <c r="L525" s="300"/>
    </row>
    <row r="526" spans="1:12" ht="19.5" customHeight="1">
      <c r="A526" s="1155"/>
      <c r="B526" s="1167"/>
      <c r="C526" s="1168" t="s">
        <v>625</v>
      </c>
      <c r="D526" s="1169" t="s">
        <v>349</v>
      </c>
      <c r="E526" s="206">
        <v>1352000</v>
      </c>
      <c r="F526" s="207">
        <v>2906590</v>
      </c>
      <c r="G526" s="208">
        <v>1566000</v>
      </c>
      <c r="H526" s="209">
        <f t="shared" si="197"/>
        <v>1.1582840236686391</v>
      </c>
      <c r="I526" s="252">
        <v>0</v>
      </c>
      <c r="J526" s="479">
        <f t="shared" si="211"/>
        <v>1566000</v>
      </c>
      <c r="K526" s="212">
        <f t="shared" si="212"/>
        <v>0.53877567871629639</v>
      </c>
      <c r="L526" s="300"/>
    </row>
    <row r="527" spans="1:12" ht="38.25">
      <c r="A527" s="1155"/>
      <c r="B527" s="1167"/>
      <c r="C527" s="1171" t="s">
        <v>315</v>
      </c>
      <c r="D527" s="1169" t="s">
        <v>418</v>
      </c>
      <c r="E527" s="206">
        <v>1000</v>
      </c>
      <c r="F527" s="207">
        <v>1000</v>
      </c>
      <c r="G527" s="208">
        <v>1000</v>
      </c>
      <c r="H527" s="209">
        <f t="shared" si="197"/>
        <v>1</v>
      </c>
      <c r="I527" s="252">
        <v>0</v>
      </c>
      <c r="J527" s="479">
        <f t="shared" si="211"/>
        <v>1000</v>
      </c>
      <c r="K527" s="212">
        <f t="shared" si="212"/>
        <v>1</v>
      </c>
      <c r="L527" s="300"/>
    </row>
    <row r="528" spans="1:12" ht="25.5" hidden="1" customHeight="1">
      <c r="A528" s="1155"/>
      <c r="B528" s="1167"/>
      <c r="C528" s="1168" t="s">
        <v>625</v>
      </c>
      <c r="D528" s="1169" t="s">
        <v>626</v>
      </c>
      <c r="E528" s="206">
        <v>0</v>
      </c>
      <c r="F528" s="207"/>
      <c r="G528" s="208"/>
      <c r="H528" s="209" t="e">
        <f t="shared" si="197"/>
        <v>#DIV/0!</v>
      </c>
      <c r="I528" s="252"/>
      <c r="J528" s="211"/>
      <c r="K528" s="212" t="e">
        <f t="shared" si="212"/>
        <v>#DIV/0!</v>
      </c>
      <c r="L528" s="297"/>
    </row>
    <row r="529" spans="1:12" ht="51" hidden="1" customHeight="1" thickBot="1">
      <c r="A529" s="1155"/>
      <c r="B529" s="1167"/>
      <c r="C529" s="1168" t="s">
        <v>627</v>
      </c>
      <c r="D529" s="1169" t="s">
        <v>628</v>
      </c>
      <c r="E529" s="206"/>
      <c r="F529" s="207"/>
      <c r="G529" s="208"/>
      <c r="H529" s="209" t="e">
        <f t="shared" si="197"/>
        <v>#DIV/0!</v>
      </c>
      <c r="I529" s="252"/>
      <c r="J529" s="211"/>
      <c r="K529" s="212" t="e">
        <f t="shared" si="212"/>
        <v>#DIV/0!</v>
      </c>
      <c r="L529" s="297"/>
    </row>
    <row r="530" spans="1:12" ht="51" hidden="1" customHeight="1" thickBot="1">
      <c r="A530" s="1155"/>
      <c r="B530" s="1167"/>
      <c r="C530" s="1172" t="s">
        <v>627</v>
      </c>
      <c r="D530" s="1169" t="s">
        <v>564</v>
      </c>
      <c r="E530" s="206"/>
      <c r="F530" s="207"/>
      <c r="G530" s="208"/>
      <c r="H530" s="209" t="e">
        <f t="shared" si="197"/>
        <v>#DIV/0!</v>
      </c>
      <c r="I530" s="252"/>
      <c r="J530" s="211"/>
      <c r="K530" s="212" t="e">
        <f t="shared" si="212"/>
        <v>#DIV/0!</v>
      </c>
      <c r="L530" s="297"/>
    </row>
    <row r="531" spans="1:12" ht="15" customHeight="1" thickBot="1">
      <c r="A531" s="1155"/>
      <c r="B531" s="4071" t="s">
        <v>293</v>
      </c>
      <c r="C531" s="4071"/>
      <c r="D531" s="956"/>
      <c r="E531" s="256">
        <v>0</v>
      </c>
      <c r="F531" s="256">
        <v>0</v>
      </c>
      <c r="G531" s="257">
        <v>0</v>
      </c>
      <c r="H531" s="602"/>
      <c r="I531" s="256">
        <v>0</v>
      </c>
      <c r="J531" s="601">
        <v>0</v>
      </c>
      <c r="K531" s="450"/>
      <c r="L531" s="279"/>
    </row>
    <row r="532" spans="1:12" ht="15.75" thickBot="1">
      <c r="A532" s="1155"/>
      <c r="B532" s="900">
        <v>85395</v>
      </c>
      <c r="C532" s="901" t="s">
        <v>312</v>
      </c>
      <c r="D532" s="1166"/>
      <c r="E532" s="659">
        <f>SUM(E533+E543)</f>
        <v>51484</v>
      </c>
      <c r="F532" s="659">
        <f>SUM(F533+F543)</f>
        <v>72783</v>
      </c>
      <c r="G532" s="456">
        <f>SUM(G533+G543)</f>
        <v>0</v>
      </c>
      <c r="H532" s="742">
        <f t="shared" ref="H532:H593" si="213">G532/E532</f>
        <v>0</v>
      </c>
      <c r="I532" s="659">
        <f>SUM(I533+I543)</f>
        <v>0</v>
      </c>
      <c r="J532" s="237">
        <f>SUM(J533+J543)</f>
        <v>0</v>
      </c>
      <c r="K532" s="238">
        <f t="shared" si="212"/>
        <v>0</v>
      </c>
      <c r="L532" s="457"/>
    </row>
    <row r="533" spans="1:12" ht="17.25" customHeight="1">
      <c r="A533" s="1173"/>
      <c r="B533" s="4095" t="s">
        <v>288</v>
      </c>
      <c r="C533" s="4096"/>
      <c r="D533" s="1000"/>
      <c r="E533" s="360">
        <f>SUM(E536:E542)</f>
        <v>51484</v>
      </c>
      <c r="F533" s="240">
        <f>SUM(F536:F542)</f>
        <v>72771</v>
      </c>
      <c r="G533" s="360">
        <f>SUM(G536:G542)</f>
        <v>0</v>
      </c>
      <c r="H533" s="293">
        <f t="shared" si="213"/>
        <v>0</v>
      </c>
      <c r="I533" s="360">
        <f>SUM(I536:I542)</f>
        <v>0</v>
      </c>
      <c r="J533" s="241">
        <f>SUM(J536:J542)</f>
        <v>0</v>
      </c>
      <c r="K533" s="203">
        <f t="shared" si="212"/>
        <v>0</v>
      </c>
      <c r="L533" s="1174"/>
    </row>
    <row r="534" spans="1:12" ht="15" hidden="1" customHeight="1">
      <c r="A534" s="1173"/>
      <c r="B534" s="1175"/>
      <c r="C534" s="1168" t="s">
        <v>629</v>
      </c>
      <c r="D534" s="1176" t="s">
        <v>307</v>
      </c>
      <c r="E534" s="1177"/>
      <c r="F534" s="207"/>
      <c r="G534" s="1178"/>
      <c r="H534" s="209" t="e">
        <f t="shared" si="213"/>
        <v>#DIV/0!</v>
      </c>
      <c r="I534" s="252"/>
      <c r="J534" s="211"/>
      <c r="K534" s="212" t="e">
        <f t="shared" si="212"/>
        <v>#DIV/0!</v>
      </c>
      <c r="L534" s="297"/>
    </row>
    <row r="535" spans="1:12" ht="17.25" hidden="1" customHeight="1">
      <c r="A535" s="1173"/>
      <c r="B535" s="1175"/>
      <c r="C535" s="1168" t="s">
        <v>630</v>
      </c>
      <c r="D535" s="1176" t="s">
        <v>292</v>
      </c>
      <c r="E535" s="1177"/>
      <c r="F535" s="207"/>
      <c r="G535" s="1178"/>
      <c r="H535" s="209" t="e">
        <f t="shared" si="213"/>
        <v>#DIV/0!</v>
      </c>
      <c r="I535" s="252"/>
      <c r="J535" s="211"/>
      <c r="K535" s="212" t="e">
        <f t="shared" si="212"/>
        <v>#DIV/0!</v>
      </c>
      <c r="L535" s="297"/>
    </row>
    <row r="536" spans="1:12" ht="76.5">
      <c r="A536" s="1155"/>
      <c r="B536" s="916"/>
      <c r="C536" s="1179" t="s">
        <v>631</v>
      </c>
      <c r="D536" s="921">
        <v>2057</v>
      </c>
      <c r="E536" s="1177">
        <v>43390</v>
      </c>
      <c r="F536" s="207">
        <v>57103</v>
      </c>
      <c r="G536" s="1178">
        <v>0</v>
      </c>
      <c r="H536" s="209">
        <f t="shared" si="213"/>
        <v>0</v>
      </c>
      <c r="I536" s="252">
        <v>0</v>
      </c>
      <c r="J536" s="479">
        <f t="shared" ref="J536:J539" si="214">SUM(G536,I536)</f>
        <v>0</v>
      </c>
      <c r="K536" s="212">
        <f t="shared" si="212"/>
        <v>0</v>
      </c>
      <c r="L536" s="300"/>
    </row>
    <row r="537" spans="1:12" ht="76.5">
      <c r="A537" s="1173"/>
      <c r="B537" s="916"/>
      <c r="C537" s="1180" t="s">
        <v>632</v>
      </c>
      <c r="D537" s="929">
        <v>2059</v>
      </c>
      <c r="E537" s="1181">
        <v>8094</v>
      </c>
      <c r="F537" s="408">
        <v>10651</v>
      </c>
      <c r="G537" s="1182">
        <v>0</v>
      </c>
      <c r="H537" s="626">
        <f t="shared" si="213"/>
        <v>0</v>
      </c>
      <c r="I537" s="252">
        <v>0</v>
      </c>
      <c r="J537" s="479">
        <f t="shared" si="214"/>
        <v>0</v>
      </c>
      <c r="K537" s="212">
        <f t="shared" si="212"/>
        <v>0</v>
      </c>
      <c r="L537" s="410"/>
    </row>
    <row r="538" spans="1:12" ht="54" customHeight="1" thickBot="1">
      <c r="A538" s="1183"/>
      <c r="B538" s="911"/>
      <c r="C538" s="1184" t="s">
        <v>332</v>
      </c>
      <c r="D538" s="1185">
        <v>2918</v>
      </c>
      <c r="E538" s="1186">
        <v>0</v>
      </c>
      <c r="F538" s="588">
        <v>1211</v>
      </c>
      <c r="G538" s="1187">
        <v>0</v>
      </c>
      <c r="H538" s="355"/>
      <c r="I538" s="356">
        <v>0</v>
      </c>
      <c r="J538" s="592">
        <f t="shared" si="214"/>
        <v>0</v>
      </c>
      <c r="K538" s="358">
        <f t="shared" si="212"/>
        <v>0</v>
      </c>
      <c r="L538" s="410"/>
    </row>
    <row r="539" spans="1:12" ht="63.75" customHeight="1">
      <c r="A539" s="1188"/>
      <c r="B539" s="913"/>
      <c r="C539" s="1189" t="s">
        <v>335</v>
      </c>
      <c r="D539" s="4097">
        <v>2919</v>
      </c>
      <c r="E539" s="1190">
        <v>0</v>
      </c>
      <c r="F539" s="667">
        <v>2055</v>
      </c>
      <c r="G539" s="1191">
        <v>0</v>
      </c>
      <c r="H539" s="508"/>
      <c r="I539" s="509">
        <v>0</v>
      </c>
      <c r="J539" s="510">
        <f t="shared" si="214"/>
        <v>0</v>
      </c>
      <c r="K539" s="511">
        <f t="shared" si="212"/>
        <v>0</v>
      </c>
      <c r="L539" s="300"/>
    </row>
    <row r="540" spans="1:12" s="579" customFormat="1" ht="63.75" hidden="1" customHeight="1">
      <c r="A540" s="1173"/>
      <c r="B540" s="916"/>
      <c r="C540" s="1192" t="s">
        <v>633</v>
      </c>
      <c r="D540" s="4098"/>
      <c r="E540" s="1177">
        <v>0</v>
      </c>
      <c r="F540" s="577"/>
      <c r="G540" s="1193"/>
      <c r="H540" s="209"/>
      <c r="I540" s="252"/>
      <c r="J540" s="211"/>
      <c r="K540" s="212" t="e">
        <f t="shared" si="212"/>
        <v>#DIV/0!</v>
      </c>
      <c r="L540" s="300"/>
    </row>
    <row r="541" spans="1:12" s="579" customFormat="1" ht="53.25" customHeight="1">
      <c r="A541" s="1173"/>
      <c r="B541" s="916"/>
      <c r="C541" s="1192" t="s">
        <v>634</v>
      </c>
      <c r="D541" s="4098"/>
      <c r="E541" s="1194">
        <v>0</v>
      </c>
      <c r="F541" s="577">
        <v>215</v>
      </c>
      <c r="G541" s="1193">
        <v>0</v>
      </c>
      <c r="H541" s="209"/>
      <c r="I541" s="252">
        <v>0</v>
      </c>
      <c r="J541" s="479">
        <f t="shared" ref="J541:J542" si="215">SUM(G541,I541)</f>
        <v>0</v>
      </c>
      <c r="K541" s="212">
        <f t="shared" si="212"/>
        <v>0</v>
      </c>
      <c r="L541" s="300"/>
    </row>
    <row r="542" spans="1:12" s="579" customFormat="1" ht="56.25" customHeight="1">
      <c r="A542" s="1173"/>
      <c r="B542" s="971"/>
      <c r="C542" s="1195" t="s">
        <v>333</v>
      </c>
      <c r="D542" s="921">
        <v>2959</v>
      </c>
      <c r="E542" s="1177">
        <v>0</v>
      </c>
      <c r="F542" s="577">
        <v>1536</v>
      </c>
      <c r="G542" s="1193">
        <v>0</v>
      </c>
      <c r="H542" s="209"/>
      <c r="I542" s="252">
        <v>0</v>
      </c>
      <c r="J542" s="479">
        <f t="shared" si="215"/>
        <v>0</v>
      </c>
      <c r="K542" s="212">
        <f t="shared" si="212"/>
        <v>0</v>
      </c>
      <c r="L542" s="300"/>
    </row>
    <row r="543" spans="1:12" s="579" customFormat="1">
      <c r="A543" s="1173"/>
      <c r="B543" s="4099" t="s">
        <v>334</v>
      </c>
      <c r="C543" s="4089"/>
      <c r="D543" s="952"/>
      <c r="E543" s="343">
        <v>0</v>
      </c>
      <c r="F543" s="661">
        <f t="shared" ref="F543" si="216">F544</f>
        <v>12</v>
      </c>
      <c r="G543" s="1196">
        <v>0</v>
      </c>
      <c r="H543" s="567"/>
      <c r="I543" s="343">
        <v>0</v>
      </c>
      <c r="J543" s="662">
        <f t="shared" ref="J543" si="217">J544</f>
        <v>0</v>
      </c>
      <c r="K543" s="419">
        <f t="shared" si="212"/>
        <v>0</v>
      </c>
      <c r="L543" s="573"/>
    </row>
    <row r="544" spans="1:12" s="579" customFormat="1" ht="54.95" customHeight="1" thickBot="1">
      <c r="A544" s="1183"/>
      <c r="B544" s="1197"/>
      <c r="C544" s="1013" t="s">
        <v>333</v>
      </c>
      <c r="D544" s="935">
        <v>6699</v>
      </c>
      <c r="E544" s="1198">
        <v>0</v>
      </c>
      <c r="F544" s="1199">
        <v>12</v>
      </c>
      <c r="G544" s="1200">
        <v>0</v>
      </c>
      <c r="H544" s="355"/>
      <c r="I544" s="356">
        <v>0</v>
      </c>
      <c r="J544" s="357">
        <f>SUM(G544,I544)</f>
        <v>0</v>
      </c>
      <c r="K544" s="358">
        <f t="shared" si="212"/>
        <v>0</v>
      </c>
      <c r="L544" s="1201"/>
    </row>
    <row r="545" spans="1:12" s="579" customFormat="1" ht="15.75" hidden="1" thickBot="1">
      <c r="A545" s="1202">
        <v>854</v>
      </c>
      <c r="B545" s="1203"/>
      <c r="C545" s="1204" t="s">
        <v>635</v>
      </c>
      <c r="D545" s="1205"/>
      <c r="E545" s="1206"/>
      <c r="F545" s="1207"/>
      <c r="G545" s="1208"/>
      <c r="H545" s="590" t="e">
        <f t="shared" si="213"/>
        <v>#DIV/0!</v>
      </c>
      <c r="I545" s="591"/>
      <c r="J545" s="592"/>
      <c r="K545" s="375" t="e">
        <f t="shared" si="212"/>
        <v>#DIV/0!</v>
      </c>
      <c r="L545" s="1209"/>
    </row>
    <row r="546" spans="1:12" s="579" customFormat="1" ht="15.75" hidden="1" thickBot="1">
      <c r="A546" s="4100"/>
      <c r="B546" s="1210">
        <v>85410</v>
      </c>
      <c r="C546" s="1072" t="s">
        <v>636</v>
      </c>
      <c r="D546" s="1211"/>
      <c r="E546" s="1212"/>
      <c r="F546" s="1213"/>
      <c r="G546" s="1214"/>
      <c r="H546" s="626" t="e">
        <f t="shared" si="213"/>
        <v>#DIV/0!</v>
      </c>
      <c r="I546" s="215"/>
      <c r="J546" s="479"/>
      <c r="K546" s="212" t="e">
        <f t="shared" si="212"/>
        <v>#DIV/0!</v>
      </c>
      <c r="L546" s="376"/>
    </row>
    <row r="547" spans="1:12" s="579" customFormat="1" ht="15.75" hidden="1" thickBot="1">
      <c r="A547" s="4100"/>
      <c r="B547" s="4102" t="s">
        <v>288</v>
      </c>
      <c r="C547" s="4103"/>
      <c r="D547" s="857"/>
      <c r="E547" s="1215"/>
      <c r="F547" s="1216"/>
      <c r="G547" s="1217"/>
      <c r="H547" s="209" t="e">
        <f t="shared" si="213"/>
        <v>#DIV/0!</v>
      </c>
      <c r="I547" s="252"/>
      <c r="J547" s="211"/>
      <c r="K547" s="212" t="e">
        <f t="shared" si="212"/>
        <v>#DIV/0!</v>
      </c>
      <c r="L547" s="247"/>
    </row>
    <row r="548" spans="1:12" s="579" customFormat="1" ht="41.25" hidden="1" customHeight="1">
      <c r="A548" s="4100"/>
      <c r="B548" s="1218"/>
      <c r="C548" s="1219" t="s">
        <v>533</v>
      </c>
      <c r="D548" s="1220">
        <v>2400</v>
      </c>
      <c r="E548" s="229"/>
      <c r="F548" s="1216"/>
      <c r="G548" s="1217"/>
      <c r="H548" s="209" t="e">
        <f t="shared" si="213"/>
        <v>#DIV/0!</v>
      </c>
      <c r="I548" s="252"/>
      <c r="J548" s="211"/>
      <c r="K548" s="212" t="e">
        <f t="shared" si="212"/>
        <v>#DIV/0!</v>
      </c>
      <c r="L548" s="247"/>
    </row>
    <row r="549" spans="1:12" s="579" customFormat="1" ht="15.75" hidden="1" thickBot="1">
      <c r="A549" s="4101"/>
      <c r="B549" s="4104" t="s">
        <v>293</v>
      </c>
      <c r="C549" s="4105"/>
      <c r="D549" s="885"/>
      <c r="E549" s="388"/>
      <c r="F549" s="1216"/>
      <c r="G549" s="898"/>
      <c r="H549" s="635" t="e">
        <f t="shared" si="213"/>
        <v>#DIV/0!</v>
      </c>
      <c r="I549" s="426"/>
      <c r="J549" s="636"/>
      <c r="K549" s="234" t="e">
        <f t="shared" si="212"/>
        <v>#DIV/0!</v>
      </c>
      <c r="L549" s="235"/>
    </row>
    <row r="550" spans="1:12" s="579" customFormat="1" ht="15.75" thickBot="1">
      <c r="A550" s="1221">
        <v>855</v>
      </c>
      <c r="B550" s="786"/>
      <c r="C550" s="788" t="s">
        <v>637</v>
      </c>
      <c r="D550" s="789"/>
      <c r="E550" s="1222">
        <f>SUM(E551,E562,E558)</f>
        <v>5986762</v>
      </c>
      <c r="F550" s="1222">
        <f>SUM(F551,F562,F558)</f>
        <v>5986762</v>
      </c>
      <c r="G550" s="1222">
        <f>SUM(G551,G562,G558)</f>
        <v>8347955</v>
      </c>
      <c r="H550" s="574">
        <f t="shared" si="213"/>
        <v>1.3944023497175937</v>
      </c>
      <c r="I550" s="1222">
        <f>SUM(I551,I562,I558)</f>
        <v>162000</v>
      </c>
      <c r="J550" s="1222">
        <f>SUM(J551,J562,J558)</f>
        <v>8509955</v>
      </c>
      <c r="K550" s="187">
        <f t="shared" si="212"/>
        <v>1.4214620524417039</v>
      </c>
      <c r="L550" s="1223"/>
    </row>
    <row r="551" spans="1:12" s="579" customFormat="1" ht="15.75" hidden="1" customHeight="1" thickBot="1">
      <c r="A551" s="1021"/>
      <c r="B551" s="1224">
        <v>85504</v>
      </c>
      <c r="C551" s="795" t="s">
        <v>638</v>
      </c>
      <c r="D551" s="1225"/>
      <c r="E551" s="468">
        <f>E552+E557</f>
        <v>0</v>
      </c>
      <c r="F551" s="468">
        <f>F552+F557</f>
        <v>0</v>
      </c>
      <c r="G551" s="468">
        <f>G552+G557</f>
        <v>0</v>
      </c>
      <c r="H551" s="626" t="e">
        <f t="shared" si="213"/>
        <v>#DIV/0!</v>
      </c>
      <c r="I551" s="468">
        <f>I552+I557</f>
        <v>0</v>
      </c>
      <c r="J551" s="468">
        <f>J552+J557</f>
        <v>0</v>
      </c>
      <c r="K551" s="375" t="e">
        <f t="shared" si="212"/>
        <v>#DIV/0!</v>
      </c>
      <c r="L551" s="1226"/>
    </row>
    <row r="552" spans="1:12" s="579" customFormat="1" ht="15" hidden="1" customHeight="1">
      <c r="A552" s="1021"/>
      <c r="B552" s="4093" t="s">
        <v>288</v>
      </c>
      <c r="C552" s="4093"/>
      <c r="D552" s="798"/>
      <c r="E552" s="677">
        <f>SUM(E554:E555)</f>
        <v>0</v>
      </c>
      <c r="F552" s="677">
        <f>SUM(F554:F555)</f>
        <v>0</v>
      </c>
      <c r="G552" s="678">
        <f>SUM(G554:G555)</f>
        <v>0</v>
      </c>
      <c r="H552" s="209" t="e">
        <f t="shared" si="213"/>
        <v>#DIV/0!</v>
      </c>
      <c r="I552" s="677">
        <f>SUM(I554:I555)</f>
        <v>0</v>
      </c>
      <c r="J552" s="678">
        <f>SUM(J554:J555)</f>
        <v>0</v>
      </c>
      <c r="K552" s="212" t="e">
        <f t="shared" si="212"/>
        <v>#DIV/0!</v>
      </c>
      <c r="L552" s="204"/>
    </row>
    <row r="553" spans="1:12" s="579" customFormat="1" ht="52.5" hidden="1" customHeight="1">
      <c r="A553" s="1021"/>
      <c r="B553" s="1227"/>
      <c r="C553" s="1228" t="s">
        <v>339</v>
      </c>
      <c r="D553" s="1229" t="s">
        <v>340</v>
      </c>
      <c r="E553" s="1230"/>
      <c r="F553" s="492"/>
      <c r="G553" s="1090"/>
      <c r="H553" s="209" t="e">
        <f t="shared" si="213"/>
        <v>#DIV/0!</v>
      </c>
      <c r="I553" s="1230"/>
      <c r="J553" s="1090"/>
      <c r="K553" s="212" t="e">
        <f t="shared" si="212"/>
        <v>#DIV/0!</v>
      </c>
      <c r="L553" s="247"/>
    </row>
    <row r="554" spans="1:12" s="579" customFormat="1" ht="63.75" hidden="1" customHeight="1">
      <c r="A554" s="1021"/>
      <c r="B554" s="1227"/>
      <c r="C554" s="1231" t="s">
        <v>639</v>
      </c>
      <c r="D554" s="1229" t="s">
        <v>446</v>
      </c>
      <c r="E554" s="1230">
        <v>0</v>
      </c>
      <c r="F554" s="492">
        <v>0</v>
      </c>
      <c r="G554" s="1090">
        <v>0</v>
      </c>
      <c r="H554" s="209" t="e">
        <f t="shared" si="213"/>
        <v>#DIV/0!</v>
      </c>
      <c r="I554" s="1230">
        <v>0</v>
      </c>
      <c r="J554" s="1090">
        <v>0</v>
      </c>
      <c r="K554" s="212" t="e">
        <f t="shared" si="212"/>
        <v>#DIV/0!</v>
      </c>
      <c r="L554" s="247"/>
    </row>
    <row r="555" spans="1:12" s="579" customFormat="1" ht="63.75" hidden="1" customHeight="1">
      <c r="A555" s="1021"/>
      <c r="B555" s="1227"/>
      <c r="C555" s="1231" t="s">
        <v>640</v>
      </c>
      <c r="D555" s="881" t="s">
        <v>448</v>
      </c>
      <c r="E555" s="1230">
        <v>0</v>
      </c>
      <c r="F555" s="492">
        <v>0</v>
      </c>
      <c r="G555" s="1090">
        <v>0</v>
      </c>
      <c r="H555" s="209" t="e">
        <f t="shared" si="213"/>
        <v>#DIV/0!</v>
      </c>
      <c r="I555" s="1230">
        <v>0</v>
      </c>
      <c r="J555" s="1090">
        <v>0</v>
      </c>
      <c r="K555" s="212" t="e">
        <f t="shared" si="212"/>
        <v>#DIV/0!</v>
      </c>
      <c r="L555" s="247"/>
    </row>
    <row r="556" spans="1:12" s="930" customFormat="1" ht="38.25" hidden="1" customHeight="1">
      <c r="A556" s="1021"/>
      <c r="B556" s="1227"/>
      <c r="C556" s="1129" t="s">
        <v>641</v>
      </c>
      <c r="D556" s="881" t="s">
        <v>355</v>
      </c>
      <c r="E556" s="1230"/>
      <c r="F556" s="1232"/>
      <c r="G556" s="1233"/>
      <c r="H556" s="209" t="e">
        <f t="shared" si="213"/>
        <v>#DIV/0!</v>
      </c>
      <c r="I556" s="1230"/>
      <c r="J556" s="1233"/>
      <c r="K556" s="212" t="e">
        <f t="shared" si="212"/>
        <v>#DIV/0!</v>
      </c>
      <c r="L556" s="247"/>
    </row>
    <row r="557" spans="1:12" ht="15.75" hidden="1" customHeight="1" thickBot="1">
      <c r="A557" s="1234"/>
      <c r="B557" s="4057" t="s">
        <v>293</v>
      </c>
      <c r="C557" s="4058"/>
      <c r="D557" s="802"/>
      <c r="E557" s="803">
        <v>0</v>
      </c>
      <c r="F557" s="803">
        <v>0</v>
      </c>
      <c r="G557" s="719">
        <v>0</v>
      </c>
      <c r="H557" s="635" t="e">
        <f t="shared" si="213"/>
        <v>#DIV/0!</v>
      </c>
      <c r="I557" s="803">
        <v>0</v>
      </c>
      <c r="J557" s="804">
        <v>0</v>
      </c>
      <c r="K557" s="234" t="e">
        <f t="shared" si="212"/>
        <v>#DIV/0!</v>
      </c>
      <c r="L557" s="1235"/>
    </row>
    <row r="558" spans="1:12" ht="15.75" thickBot="1">
      <c r="A558" s="1236"/>
      <c r="B558" s="1224">
        <v>85509</v>
      </c>
      <c r="C558" s="795" t="s">
        <v>642</v>
      </c>
      <c r="D558" s="1225"/>
      <c r="E558" s="468">
        <f t="shared" ref="E558:G558" si="218">E559+E561</f>
        <v>1596000</v>
      </c>
      <c r="F558" s="468">
        <f t="shared" si="218"/>
        <v>1596000</v>
      </c>
      <c r="G558" s="842">
        <f t="shared" si="218"/>
        <v>1596000</v>
      </c>
      <c r="H558" s="555">
        <f t="shared" si="213"/>
        <v>1</v>
      </c>
      <c r="I558" s="468">
        <f t="shared" ref="I558:J558" si="219">I559+I561</f>
        <v>162000</v>
      </c>
      <c r="J558" s="842">
        <f t="shared" si="219"/>
        <v>1758000</v>
      </c>
      <c r="K558" s="238">
        <f t="shared" si="212"/>
        <v>1.1015037593984962</v>
      </c>
      <c r="L558" s="197"/>
    </row>
    <row r="559" spans="1:12">
      <c r="A559" s="1237"/>
      <c r="B559" s="4093" t="s">
        <v>288</v>
      </c>
      <c r="C559" s="4093"/>
      <c r="D559" s="798"/>
      <c r="E559" s="677">
        <f t="shared" ref="E559:J559" si="220">E560</f>
        <v>1596000</v>
      </c>
      <c r="F559" s="677">
        <f t="shared" si="220"/>
        <v>1596000</v>
      </c>
      <c r="G559" s="678">
        <f t="shared" si="220"/>
        <v>1596000</v>
      </c>
      <c r="H559" s="559">
        <f t="shared" si="213"/>
        <v>1</v>
      </c>
      <c r="I559" s="472">
        <f t="shared" si="220"/>
        <v>162000</v>
      </c>
      <c r="J559" s="473">
        <f t="shared" si="220"/>
        <v>1758000</v>
      </c>
      <c r="K559" s="203">
        <f t="shared" si="212"/>
        <v>1.1015037593984962</v>
      </c>
      <c r="L559" s="204"/>
    </row>
    <row r="560" spans="1:12" ht="43.5" customHeight="1">
      <c r="A560" s="1237"/>
      <c r="B560" s="1238"/>
      <c r="C560" s="826" t="s">
        <v>315</v>
      </c>
      <c r="D560" s="881" t="s">
        <v>418</v>
      </c>
      <c r="E560" s="681">
        <v>1596000</v>
      </c>
      <c r="F560" s="477">
        <v>1596000</v>
      </c>
      <c r="G560" s="548">
        <v>1596000</v>
      </c>
      <c r="H560" s="209">
        <f t="shared" si="213"/>
        <v>1</v>
      </c>
      <c r="I560" s="215">
        <v>162000</v>
      </c>
      <c r="J560" s="479">
        <f t="shared" ref="J560" si="221">SUM(G560,I560)</f>
        <v>1758000</v>
      </c>
      <c r="K560" s="212">
        <f t="shared" si="212"/>
        <v>1.1015037593984962</v>
      </c>
      <c r="L560" s="437"/>
    </row>
    <row r="561" spans="1:12" ht="15" customHeight="1" thickBot="1">
      <c r="A561" s="1237"/>
      <c r="B561" s="4057" t="s">
        <v>293</v>
      </c>
      <c r="C561" s="4058"/>
      <c r="D561" s="802"/>
      <c r="E561" s="685">
        <v>0</v>
      </c>
      <c r="F561" s="685">
        <v>0</v>
      </c>
      <c r="G561" s="719">
        <v>0</v>
      </c>
      <c r="H561" s="602"/>
      <c r="I561" s="685">
        <v>0</v>
      </c>
      <c r="J561" s="687">
        <v>0</v>
      </c>
      <c r="K561" s="450"/>
      <c r="L561" s="451"/>
    </row>
    <row r="562" spans="1:12" ht="18" customHeight="1" thickBot="1">
      <c r="A562" s="1237"/>
      <c r="B562" s="1239">
        <v>85510</v>
      </c>
      <c r="C562" s="1240" t="s">
        <v>643</v>
      </c>
      <c r="D562" s="1241"/>
      <c r="E562" s="1026">
        <f t="shared" ref="E562:G562" si="222">SUM(E563,E567)</f>
        <v>4390762</v>
      </c>
      <c r="F562" s="1026">
        <f t="shared" si="222"/>
        <v>4390762</v>
      </c>
      <c r="G562" s="750">
        <f t="shared" si="222"/>
        <v>6751955</v>
      </c>
      <c r="H562" s="742">
        <f t="shared" si="213"/>
        <v>1.537763832337075</v>
      </c>
      <c r="I562" s="1026">
        <f t="shared" ref="I562:J562" si="223">SUM(I563,I567)</f>
        <v>0</v>
      </c>
      <c r="J562" s="842">
        <f t="shared" si="223"/>
        <v>6751955</v>
      </c>
      <c r="K562" s="238">
        <f t="shared" si="212"/>
        <v>1.537763832337075</v>
      </c>
      <c r="L562" s="1242"/>
    </row>
    <row r="563" spans="1:12">
      <c r="A563" s="1237"/>
      <c r="B563" s="4094" t="s">
        <v>288</v>
      </c>
      <c r="C563" s="4093"/>
      <c r="D563" s="798"/>
      <c r="E563" s="677">
        <f t="shared" ref="E563:F563" si="224">SUM(E564:E566)</f>
        <v>4390762</v>
      </c>
      <c r="F563" s="677">
        <f t="shared" si="224"/>
        <v>4390762</v>
      </c>
      <c r="G563" s="678">
        <f t="shared" ref="G563" si="225">SUM(G564:G566)</f>
        <v>6751955</v>
      </c>
      <c r="H563" s="559">
        <f t="shared" si="213"/>
        <v>1.537763832337075</v>
      </c>
      <c r="I563" s="677">
        <f t="shared" ref="I563:J563" si="226">SUM(I564:I566)</f>
        <v>0</v>
      </c>
      <c r="J563" s="473">
        <f t="shared" si="226"/>
        <v>6751955</v>
      </c>
      <c r="K563" s="203">
        <f t="shared" si="212"/>
        <v>1.537763832337075</v>
      </c>
      <c r="L563" s="1243"/>
    </row>
    <row r="564" spans="1:12" ht="15" hidden="1" customHeight="1">
      <c r="A564" s="1237"/>
      <c r="B564" s="1244"/>
      <c r="C564" s="1245" t="s">
        <v>629</v>
      </c>
      <c r="D564" s="1229" t="s">
        <v>307</v>
      </c>
      <c r="E564" s="681"/>
      <c r="F564" s="477"/>
      <c r="G564" s="548"/>
      <c r="H564" s="209" t="e">
        <f t="shared" si="213"/>
        <v>#DIV/0!</v>
      </c>
      <c r="I564" s="215"/>
      <c r="J564" s="479"/>
      <c r="K564" s="212" t="e">
        <f t="shared" si="212"/>
        <v>#DIV/0!</v>
      </c>
      <c r="L564" s="1246"/>
    </row>
    <row r="565" spans="1:12" ht="38.25">
      <c r="A565" s="1237"/>
      <c r="B565" s="1247"/>
      <c r="C565" s="826" t="s">
        <v>644</v>
      </c>
      <c r="D565" s="881" t="s">
        <v>645</v>
      </c>
      <c r="E565" s="681">
        <v>4390762</v>
      </c>
      <c r="F565" s="477">
        <v>4390762</v>
      </c>
      <c r="G565" s="548">
        <v>6751955</v>
      </c>
      <c r="H565" s="209">
        <f t="shared" si="213"/>
        <v>1.537763832337075</v>
      </c>
      <c r="I565" s="252">
        <v>0</v>
      </c>
      <c r="J565" s="479">
        <f t="shared" ref="J565" si="227">SUM(G565,I565)</f>
        <v>6751955</v>
      </c>
      <c r="K565" s="212">
        <f t="shared" si="212"/>
        <v>1.537763832337075</v>
      </c>
      <c r="L565" s="494"/>
    </row>
    <row r="566" spans="1:12" s="931" customFormat="1" ht="39.75" hidden="1" customHeight="1" thickBot="1">
      <c r="A566" s="1237"/>
      <c r="B566" s="1248"/>
      <c r="C566" s="1249" t="s">
        <v>646</v>
      </c>
      <c r="D566" s="895" t="s">
        <v>309</v>
      </c>
      <c r="E566" s="268">
        <v>0</v>
      </c>
      <c r="F566" s="1067"/>
      <c r="G566" s="1068"/>
      <c r="H566" s="209" t="e">
        <f t="shared" si="213"/>
        <v>#DIV/0!</v>
      </c>
      <c r="I566" s="252"/>
      <c r="J566" s="211"/>
      <c r="K566" s="212" t="e">
        <f t="shared" si="212"/>
        <v>#DIV/0!</v>
      </c>
      <c r="L566" s="247"/>
    </row>
    <row r="567" spans="1:12" ht="15.75" thickBot="1">
      <c r="A567" s="1250"/>
      <c r="B567" s="4057" t="s">
        <v>293</v>
      </c>
      <c r="C567" s="4058"/>
      <c r="D567" s="802"/>
      <c r="E567" s="803">
        <v>0</v>
      </c>
      <c r="F567" s="685">
        <v>0</v>
      </c>
      <c r="G567" s="719">
        <v>0</v>
      </c>
      <c r="H567" s="567"/>
      <c r="I567" s="803">
        <v>0</v>
      </c>
      <c r="J567" s="687">
        <v>0</v>
      </c>
      <c r="K567" s="450"/>
      <c r="L567" s="720"/>
    </row>
    <row r="568" spans="1:12" s="156" customFormat="1" ht="15.75" thickBot="1">
      <c r="A568" s="944">
        <v>900</v>
      </c>
      <c r="B568" s="845"/>
      <c r="C568" s="846" t="s">
        <v>647</v>
      </c>
      <c r="D568" s="847"/>
      <c r="E568" s="185">
        <f>SUM(E569,E573,E578,E585,E591,E595)</f>
        <v>602500</v>
      </c>
      <c r="F568" s="185">
        <f>SUM(F569,F573,F578,F585,F591,F595)</f>
        <v>917500</v>
      </c>
      <c r="G568" s="185">
        <f>SUM(G569,G573,G578,G585,G591,G595)</f>
        <v>574700</v>
      </c>
      <c r="H568" s="574">
        <f t="shared" si="213"/>
        <v>0.95385892116182569</v>
      </c>
      <c r="I568" s="185">
        <f>SUM(I569,I573,I578,I585,I591,I595)</f>
        <v>0</v>
      </c>
      <c r="J568" s="185">
        <f>SUM(J569,J573,J578,J585,J591,J595)</f>
        <v>574700</v>
      </c>
      <c r="K568" s="394">
        <f t="shared" si="212"/>
        <v>0.62637602179836516</v>
      </c>
      <c r="L568" s="323"/>
    </row>
    <row r="569" spans="1:12" ht="15.75" thickBot="1">
      <c r="A569" s="948"/>
      <c r="B569" s="1251">
        <v>90005</v>
      </c>
      <c r="C569" s="1252" t="s">
        <v>648</v>
      </c>
      <c r="D569" s="1253"/>
      <c r="E569" s="237">
        <f t="shared" ref="E569:G569" si="228">SUM(E570,E572)</f>
        <v>0</v>
      </c>
      <c r="F569" s="237">
        <f t="shared" si="228"/>
        <v>315000</v>
      </c>
      <c r="G569" s="237">
        <f t="shared" si="228"/>
        <v>0</v>
      </c>
      <c r="H569" s="742"/>
      <c r="I569" s="237">
        <f t="shared" ref="I569:J569" si="229">SUM(I570,I572)</f>
        <v>0</v>
      </c>
      <c r="J569" s="237">
        <f t="shared" si="229"/>
        <v>0</v>
      </c>
      <c r="K569" s="238">
        <f t="shared" si="212"/>
        <v>0</v>
      </c>
      <c r="L569" s="290"/>
    </row>
    <row r="570" spans="1:12">
      <c r="A570" s="951"/>
      <c r="B570" s="4089" t="s">
        <v>288</v>
      </c>
      <c r="C570" s="4089"/>
      <c r="D570" s="952"/>
      <c r="E570" s="1254">
        <f>SUM(E571)</f>
        <v>0</v>
      </c>
      <c r="F570" s="1254">
        <f>SUM(F571)</f>
        <v>315000</v>
      </c>
      <c r="G570" s="1255">
        <f>SUM(G571)</f>
        <v>0</v>
      </c>
      <c r="H570" s="559"/>
      <c r="I570" s="1254">
        <f>SUM(I571)</f>
        <v>0</v>
      </c>
      <c r="J570" s="1256">
        <f>SUM(J571)</f>
        <v>0</v>
      </c>
      <c r="K570" s="203">
        <f t="shared" si="212"/>
        <v>0</v>
      </c>
      <c r="L570" s="294"/>
    </row>
    <row r="571" spans="1:12" ht="25.5">
      <c r="A571" s="951"/>
      <c r="B571" s="1257"/>
      <c r="C571" s="904" t="s">
        <v>316</v>
      </c>
      <c r="D571" s="1258">
        <v>2460</v>
      </c>
      <c r="E571" s="867">
        <v>0</v>
      </c>
      <c r="F571" s="207">
        <v>315000</v>
      </c>
      <c r="G571" s="208">
        <v>0</v>
      </c>
      <c r="H571" s="209"/>
      <c r="I571" s="252">
        <v>0</v>
      </c>
      <c r="J571" s="479">
        <f t="shared" ref="J571" si="230">SUM(G571,I571)</f>
        <v>0</v>
      </c>
      <c r="K571" s="212">
        <f t="shared" si="212"/>
        <v>0</v>
      </c>
      <c r="L571" s="300"/>
    </row>
    <row r="572" spans="1:12" ht="15.75" customHeight="1" thickBot="1">
      <c r="A572" s="951"/>
      <c r="B572" s="4048" t="s">
        <v>293</v>
      </c>
      <c r="C572" s="4048"/>
      <c r="D572" s="1259"/>
      <c r="E572" s="277">
        <v>0</v>
      </c>
      <c r="F572" s="277">
        <v>0</v>
      </c>
      <c r="G572" s="319">
        <v>0</v>
      </c>
      <c r="H572" s="567"/>
      <c r="I572" s="277">
        <v>0</v>
      </c>
      <c r="J572" s="957">
        <v>0</v>
      </c>
      <c r="K572" s="450"/>
      <c r="L572" s="573"/>
    </row>
    <row r="573" spans="1:12" ht="26.25" customHeight="1" thickBot="1">
      <c r="A573" s="951"/>
      <c r="B573" s="907">
        <v>90019</v>
      </c>
      <c r="C573" s="854" t="s">
        <v>649</v>
      </c>
      <c r="D573" s="855"/>
      <c r="E573" s="315">
        <f>SUM(E574,E577)</f>
        <v>400000</v>
      </c>
      <c r="F573" s="315">
        <f>SUM(F574,F577)</f>
        <v>400000</v>
      </c>
      <c r="G573" s="237">
        <f>SUM(G574,G577)</f>
        <v>400000</v>
      </c>
      <c r="H573" s="555">
        <f t="shared" si="213"/>
        <v>1</v>
      </c>
      <c r="I573" s="315">
        <f>SUM(I574,I577)</f>
        <v>0</v>
      </c>
      <c r="J573" s="237">
        <f>SUM(J574,J577)</f>
        <v>400000</v>
      </c>
      <c r="K573" s="238">
        <f t="shared" si="212"/>
        <v>1</v>
      </c>
      <c r="L573" s="290"/>
    </row>
    <row r="574" spans="1:12">
      <c r="A574" s="951"/>
      <c r="B574" s="4088" t="s">
        <v>288</v>
      </c>
      <c r="C574" s="4088"/>
      <c r="D574" s="927"/>
      <c r="E574" s="557">
        <f>SUM(E575:E576)</f>
        <v>400000</v>
      </c>
      <c r="F574" s="557">
        <f>SUM(F575:F576)</f>
        <v>400000</v>
      </c>
      <c r="G574" s="558">
        <f>SUM(G575:G576)</f>
        <v>400000</v>
      </c>
      <c r="H574" s="559">
        <f t="shared" si="213"/>
        <v>1</v>
      </c>
      <c r="I574" s="557">
        <f>SUM(I575:I576)</f>
        <v>0</v>
      </c>
      <c r="J574" s="558">
        <f>SUM(J575:J576)</f>
        <v>400000</v>
      </c>
      <c r="K574" s="203">
        <f t="shared" si="212"/>
        <v>1</v>
      </c>
      <c r="L574" s="294"/>
    </row>
    <row r="575" spans="1:12">
      <c r="A575" s="951"/>
      <c r="B575" s="1260"/>
      <c r="C575" s="904" t="s">
        <v>650</v>
      </c>
      <c r="D575" s="1170" t="s">
        <v>305</v>
      </c>
      <c r="E575" s="206">
        <v>400000</v>
      </c>
      <c r="F575" s="207">
        <v>400000</v>
      </c>
      <c r="G575" s="208">
        <v>400000</v>
      </c>
      <c r="H575" s="209">
        <f t="shared" si="213"/>
        <v>1</v>
      </c>
      <c r="I575" s="252">
        <v>0</v>
      </c>
      <c r="J575" s="479">
        <f t="shared" ref="J575" si="231">SUM(G575,I575)</f>
        <v>400000</v>
      </c>
      <c r="K575" s="212">
        <f t="shared" si="212"/>
        <v>1</v>
      </c>
      <c r="L575" s="300"/>
    </row>
    <row r="576" spans="1:12" ht="38.25" hidden="1" customHeight="1">
      <c r="A576" s="951"/>
      <c r="B576" s="1261"/>
      <c r="C576" s="1262" t="s">
        <v>326</v>
      </c>
      <c r="D576" s="1263" t="s">
        <v>374</v>
      </c>
      <c r="E576" s="246"/>
      <c r="F576" s="207"/>
      <c r="G576" s="208"/>
      <c r="H576" s="209" t="e">
        <f t="shared" si="213"/>
        <v>#DIV/0!</v>
      </c>
      <c r="I576" s="252"/>
      <c r="J576" s="211"/>
      <c r="K576" s="212" t="e">
        <f t="shared" si="212"/>
        <v>#DIV/0!</v>
      </c>
      <c r="L576" s="297"/>
    </row>
    <row r="577" spans="1:12" s="156" customFormat="1" ht="15" customHeight="1" thickBot="1">
      <c r="A577" s="951"/>
      <c r="B577" s="4047" t="s">
        <v>293</v>
      </c>
      <c r="C577" s="4071"/>
      <c r="D577" s="885"/>
      <c r="E577" s="256">
        <v>0</v>
      </c>
      <c r="F577" s="256">
        <v>0</v>
      </c>
      <c r="G577" s="319">
        <v>0</v>
      </c>
      <c r="H577" s="567"/>
      <c r="I577" s="256">
        <v>0</v>
      </c>
      <c r="J577" s="601">
        <v>0</v>
      </c>
      <c r="K577" s="450"/>
      <c r="L577" s="573"/>
    </row>
    <row r="578" spans="1:12" s="156" customFormat="1" ht="26.25" thickBot="1">
      <c r="A578" s="951"/>
      <c r="B578" s="1264">
        <v>90020</v>
      </c>
      <c r="C578" s="901" t="s">
        <v>651</v>
      </c>
      <c r="D578" s="1166"/>
      <c r="E578" s="456">
        <f>SUM(E580:E583)</f>
        <v>101200</v>
      </c>
      <c r="F578" s="456">
        <f>SUM(F580:F583)</f>
        <v>101200</v>
      </c>
      <c r="G578" s="237">
        <f>SUM(G580:G583)</f>
        <v>73400</v>
      </c>
      <c r="H578" s="555">
        <f t="shared" si="213"/>
        <v>0.72529644268774707</v>
      </c>
      <c r="I578" s="456">
        <f>SUM(I580:I583)</f>
        <v>0</v>
      </c>
      <c r="J578" s="237">
        <f>SUM(J580:J583)</f>
        <v>73400</v>
      </c>
      <c r="K578" s="238">
        <f t="shared" si="212"/>
        <v>0.72529644268774707</v>
      </c>
      <c r="L578" s="197"/>
    </row>
    <row r="579" spans="1:12" s="156" customFormat="1" ht="15.75" customHeight="1">
      <c r="A579" s="951"/>
      <c r="B579" s="4088" t="s">
        <v>288</v>
      </c>
      <c r="C579" s="4088"/>
      <c r="D579" s="927"/>
      <c r="E579" s="263">
        <f>SUM(E580:E583)</f>
        <v>101200</v>
      </c>
      <c r="F579" s="263">
        <f>SUM(F580:F583)</f>
        <v>101200</v>
      </c>
      <c r="G579" s="264">
        <f>SUM(G580:G583)</f>
        <v>73400</v>
      </c>
      <c r="H579" s="559">
        <f t="shared" si="213"/>
        <v>0.72529644268774707</v>
      </c>
      <c r="I579" s="263">
        <f>SUM(I580:I583)</f>
        <v>0</v>
      </c>
      <c r="J579" s="241">
        <f>SUM(J580:J583)</f>
        <v>73400</v>
      </c>
      <c r="K579" s="203">
        <f t="shared" si="212"/>
        <v>0.72529644268774707</v>
      </c>
      <c r="L579" s="204"/>
    </row>
    <row r="580" spans="1:12" ht="15" customHeight="1">
      <c r="A580" s="951"/>
      <c r="B580" s="4090"/>
      <c r="C580" s="1265" t="s">
        <v>652</v>
      </c>
      <c r="D580" s="1169" t="s">
        <v>653</v>
      </c>
      <c r="E580" s="206">
        <v>40000</v>
      </c>
      <c r="F580" s="207">
        <v>40000</v>
      </c>
      <c r="G580" s="208">
        <v>40000</v>
      </c>
      <c r="H580" s="209">
        <f t="shared" si="213"/>
        <v>1</v>
      </c>
      <c r="I580" s="252">
        <v>0</v>
      </c>
      <c r="J580" s="479">
        <f t="shared" ref="J580:J583" si="232">SUM(G580,I580)</f>
        <v>40000</v>
      </c>
      <c r="K580" s="212">
        <f t="shared" si="212"/>
        <v>1</v>
      </c>
      <c r="L580" s="253"/>
    </row>
    <row r="581" spans="1:12" ht="28.5" customHeight="1">
      <c r="A581" s="951"/>
      <c r="B581" s="4091"/>
      <c r="C581" s="871" t="s">
        <v>654</v>
      </c>
      <c r="D581" s="1170" t="s">
        <v>655</v>
      </c>
      <c r="E581" s="251">
        <v>60000</v>
      </c>
      <c r="F581" s="581">
        <v>60000</v>
      </c>
      <c r="G581" s="306">
        <v>32200</v>
      </c>
      <c r="H581" s="209">
        <f t="shared" si="213"/>
        <v>0.53666666666666663</v>
      </c>
      <c r="I581" s="426">
        <v>0</v>
      </c>
      <c r="J581" s="479">
        <f t="shared" si="232"/>
        <v>32200</v>
      </c>
      <c r="K581" s="212">
        <f t="shared" si="212"/>
        <v>0.53666666666666663</v>
      </c>
      <c r="L581" s="441"/>
    </row>
    <row r="582" spans="1:12" ht="40.5" customHeight="1">
      <c r="A582" s="951"/>
      <c r="B582" s="4091"/>
      <c r="C582" s="871" t="s">
        <v>656</v>
      </c>
      <c r="D582" s="1170" t="s">
        <v>657</v>
      </c>
      <c r="E582" s="206">
        <v>1000</v>
      </c>
      <c r="F582" s="207">
        <v>1000</v>
      </c>
      <c r="G582" s="208">
        <v>1000</v>
      </c>
      <c r="H582" s="209">
        <f t="shared" si="213"/>
        <v>1</v>
      </c>
      <c r="I582" s="252">
        <v>0</v>
      </c>
      <c r="J582" s="479">
        <f t="shared" si="232"/>
        <v>1000</v>
      </c>
      <c r="K582" s="212">
        <f t="shared" si="212"/>
        <v>1</v>
      </c>
      <c r="L582" s="253"/>
    </row>
    <row r="583" spans="1:12">
      <c r="A583" s="951"/>
      <c r="B583" s="4092"/>
      <c r="C583" s="871" t="s">
        <v>658</v>
      </c>
      <c r="D583" s="1169" t="s">
        <v>292</v>
      </c>
      <c r="E583" s="206">
        <v>200</v>
      </c>
      <c r="F583" s="207">
        <v>200</v>
      </c>
      <c r="G583" s="208">
        <v>200</v>
      </c>
      <c r="H583" s="209">
        <f t="shared" si="213"/>
        <v>1</v>
      </c>
      <c r="I583" s="252">
        <v>0</v>
      </c>
      <c r="J583" s="479">
        <f t="shared" si="232"/>
        <v>200</v>
      </c>
      <c r="K583" s="212">
        <f t="shared" si="212"/>
        <v>1</v>
      </c>
      <c r="L583" s="253"/>
    </row>
    <row r="584" spans="1:12" s="156" customFormat="1" ht="16.5" customHeight="1" thickBot="1">
      <c r="A584" s="951"/>
      <c r="B584" s="4071" t="s">
        <v>293</v>
      </c>
      <c r="C584" s="4071"/>
      <c r="D584" s="956"/>
      <c r="E584" s="256">
        <v>0</v>
      </c>
      <c r="F584" s="256">
        <v>0</v>
      </c>
      <c r="G584" s="257">
        <v>0</v>
      </c>
      <c r="H584" s="567"/>
      <c r="I584" s="256">
        <v>0</v>
      </c>
      <c r="J584" s="601">
        <v>0</v>
      </c>
      <c r="K584" s="450"/>
      <c r="L584" s="451"/>
    </row>
    <row r="585" spans="1:12" ht="26.25" thickBot="1">
      <c r="A585" s="951"/>
      <c r="B585" s="907">
        <v>90024</v>
      </c>
      <c r="C585" s="854" t="s">
        <v>659</v>
      </c>
      <c r="D585" s="855"/>
      <c r="E585" s="315">
        <f>SUM(E590,E586)</f>
        <v>1300</v>
      </c>
      <c r="F585" s="315">
        <f>SUM(F590,F586)</f>
        <v>1300</v>
      </c>
      <c r="G585" s="315">
        <f>SUM(G590,G586)</f>
        <v>1300</v>
      </c>
      <c r="H585" s="555">
        <f t="shared" si="213"/>
        <v>1</v>
      </c>
      <c r="I585" s="315">
        <f>SUM(I590,I586)</f>
        <v>0</v>
      </c>
      <c r="J585" s="237">
        <f>SUM(J590,J586)</f>
        <v>1300</v>
      </c>
      <c r="K585" s="238">
        <f t="shared" ref="K585:K634" si="233">J585/F585</f>
        <v>1</v>
      </c>
      <c r="L585" s="197"/>
    </row>
    <row r="586" spans="1:12">
      <c r="A586" s="951"/>
      <c r="B586" s="4045" t="s">
        <v>288</v>
      </c>
      <c r="C586" s="4082"/>
      <c r="D586" s="952"/>
      <c r="E586" s="263">
        <f>SUM(E587:E589)</f>
        <v>1300</v>
      </c>
      <c r="F586" s="263">
        <f>SUM(F587:F589)</f>
        <v>1300</v>
      </c>
      <c r="G586" s="264">
        <f>SUM(G587:G589)</f>
        <v>1300</v>
      </c>
      <c r="H586" s="559">
        <f t="shared" si="213"/>
        <v>1</v>
      </c>
      <c r="I586" s="263">
        <f>SUM(I587:I589)</f>
        <v>0</v>
      </c>
      <c r="J586" s="241">
        <f>SUM(J587:J589)</f>
        <v>1300</v>
      </c>
      <c r="K586" s="203">
        <f t="shared" si="233"/>
        <v>1</v>
      </c>
      <c r="L586" s="204"/>
    </row>
    <row r="587" spans="1:12" ht="28.5" customHeight="1">
      <c r="A587" s="951"/>
      <c r="B587" s="4083"/>
      <c r="C587" s="1266" t="s">
        <v>660</v>
      </c>
      <c r="D587" s="1169" t="s">
        <v>655</v>
      </c>
      <c r="E587" s="206">
        <v>100</v>
      </c>
      <c r="F587" s="207">
        <v>100</v>
      </c>
      <c r="G587" s="208">
        <v>100</v>
      </c>
      <c r="H587" s="209">
        <f t="shared" si="213"/>
        <v>1</v>
      </c>
      <c r="I587" s="252">
        <v>0</v>
      </c>
      <c r="J587" s="479">
        <f t="shared" ref="J587:J589" si="234">SUM(G587,I587)</f>
        <v>100</v>
      </c>
      <c r="K587" s="212">
        <f t="shared" si="233"/>
        <v>1</v>
      </c>
      <c r="L587" s="253"/>
    </row>
    <row r="588" spans="1:12" ht="14.25" customHeight="1">
      <c r="A588" s="951"/>
      <c r="B588" s="4084"/>
      <c r="C588" s="4086" t="s">
        <v>660</v>
      </c>
      <c r="D588" s="1267" t="s">
        <v>305</v>
      </c>
      <c r="E588" s="206">
        <v>1000</v>
      </c>
      <c r="F588" s="207">
        <v>1000</v>
      </c>
      <c r="G588" s="208">
        <v>1000</v>
      </c>
      <c r="H588" s="209">
        <f t="shared" si="213"/>
        <v>1</v>
      </c>
      <c r="I588" s="252">
        <v>0</v>
      </c>
      <c r="J588" s="479">
        <f t="shared" si="234"/>
        <v>1000</v>
      </c>
      <c r="K588" s="212">
        <f t="shared" si="233"/>
        <v>1</v>
      </c>
      <c r="L588" s="253"/>
    </row>
    <row r="589" spans="1:12" ht="16.5" customHeight="1">
      <c r="A589" s="951"/>
      <c r="B589" s="4085"/>
      <c r="C589" s="4087"/>
      <c r="D589" s="1267" t="s">
        <v>292</v>
      </c>
      <c r="E589" s="206">
        <v>200</v>
      </c>
      <c r="F589" s="207">
        <v>200</v>
      </c>
      <c r="G589" s="208">
        <v>200</v>
      </c>
      <c r="H589" s="209">
        <f t="shared" si="213"/>
        <v>1</v>
      </c>
      <c r="I589" s="252">
        <v>0</v>
      </c>
      <c r="J589" s="479">
        <f t="shared" si="234"/>
        <v>200</v>
      </c>
      <c r="K589" s="212">
        <f t="shared" si="233"/>
        <v>1</v>
      </c>
      <c r="L589" s="253"/>
    </row>
    <row r="590" spans="1:12" s="156" customFormat="1" ht="16.5" customHeight="1" thickBot="1">
      <c r="A590" s="951"/>
      <c r="B590" s="4071" t="s">
        <v>293</v>
      </c>
      <c r="C590" s="4071"/>
      <c r="D590" s="956"/>
      <c r="E590" s="277">
        <v>0</v>
      </c>
      <c r="F590" s="277">
        <v>0</v>
      </c>
      <c r="G590" s="319">
        <v>0</v>
      </c>
      <c r="H590" s="567"/>
      <c r="I590" s="277">
        <v>0</v>
      </c>
      <c r="J590" s="957">
        <v>0</v>
      </c>
      <c r="K590" s="450"/>
      <c r="L590" s="259"/>
    </row>
    <row r="591" spans="1:12" ht="15.75" thickBot="1">
      <c r="A591" s="951"/>
      <c r="B591" s="853">
        <v>90026</v>
      </c>
      <c r="C591" s="854" t="s">
        <v>661</v>
      </c>
      <c r="D591" s="855"/>
      <c r="E591" s="237">
        <f>E592+E594</f>
        <v>100000</v>
      </c>
      <c r="F591" s="237">
        <f>F592+F594</f>
        <v>100000</v>
      </c>
      <c r="G591" s="237">
        <f t="shared" ref="G591" si="235">G592+G594</f>
        <v>100000</v>
      </c>
      <c r="H591" s="555">
        <f t="shared" si="213"/>
        <v>1</v>
      </c>
      <c r="I591" s="237">
        <f>I592+I594</f>
        <v>0</v>
      </c>
      <c r="J591" s="237">
        <f>J592+J594</f>
        <v>100000</v>
      </c>
      <c r="K591" s="238">
        <f t="shared" si="233"/>
        <v>1</v>
      </c>
      <c r="L591" s="197"/>
    </row>
    <row r="592" spans="1:12">
      <c r="A592" s="951"/>
      <c r="B592" s="4088" t="s">
        <v>288</v>
      </c>
      <c r="C592" s="4088"/>
      <c r="D592" s="927"/>
      <c r="E592" s="263">
        <f>E593</f>
        <v>100000</v>
      </c>
      <c r="F592" s="263">
        <f>F593</f>
        <v>100000</v>
      </c>
      <c r="G592" s="264">
        <f>G593</f>
        <v>100000</v>
      </c>
      <c r="H592" s="559">
        <f t="shared" si="213"/>
        <v>1</v>
      </c>
      <c r="I592" s="263">
        <f>I593</f>
        <v>0</v>
      </c>
      <c r="J592" s="241">
        <f>J593</f>
        <v>100000</v>
      </c>
      <c r="K592" s="203">
        <f t="shared" si="233"/>
        <v>1</v>
      </c>
      <c r="L592" s="204"/>
    </row>
    <row r="593" spans="1:12" ht="40.5" customHeight="1">
      <c r="A593" s="951"/>
      <c r="B593" s="1268"/>
      <c r="C593" s="1269" t="s">
        <v>662</v>
      </c>
      <c r="D593" s="1267" t="s">
        <v>305</v>
      </c>
      <c r="E593" s="206">
        <v>100000</v>
      </c>
      <c r="F593" s="207">
        <v>100000</v>
      </c>
      <c r="G593" s="208">
        <v>100000</v>
      </c>
      <c r="H593" s="209">
        <f t="shared" si="213"/>
        <v>1</v>
      </c>
      <c r="I593" s="252">
        <v>0</v>
      </c>
      <c r="J593" s="479">
        <f t="shared" ref="J593" si="236">SUM(G593,I593)</f>
        <v>100000</v>
      </c>
      <c r="K593" s="212">
        <f t="shared" si="233"/>
        <v>1</v>
      </c>
      <c r="L593" s="253"/>
    </row>
    <row r="594" spans="1:12" ht="16.5" customHeight="1" thickBot="1">
      <c r="A594" s="955"/>
      <c r="B594" s="4071" t="s">
        <v>293</v>
      </c>
      <c r="C594" s="4071"/>
      <c r="D594" s="956"/>
      <c r="E594" s="256">
        <v>0</v>
      </c>
      <c r="F594" s="256">
        <v>0</v>
      </c>
      <c r="G594" s="257">
        <v>0</v>
      </c>
      <c r="H594" s="602"/>
      <c r="I594" s="256">
        <v>0</v>
      </c>
      <c r="J594" s="601">
        <v>0</v>
      </c>
      <c r="K594" s="419"/>
      <c r="L594" s="451"/>
    </row>
    <row r="595" spans="1:12" ht="0.75" hidden="1" customHeight="1" thickBot="1">
      <c r="A595" s="4072"/>
      <c r="B595" s="887">
        <v>90095</v>
      </c>
      <c r="C595" s="888" t="s">
        <v>312</v>
      </c>
      <c r="D595" s="889"/>
      <c r="E595" s="1270">
        <f>E596+E598</f>
        <v>0</v>
      </c>
      <c r="F595" s="1270">
        <f>F596+F598</f>
        <v>0</v>
      </c>
      <c r="G595" s="1270">
        <f>G596+G598</f>
        <v>0</v>
      </c>
      <c r="H595" s="626" t="e">
        <f t="shared" ref="H595:H637" si="237">G595/E595</f>
        <v>#DIV/0!</v>
      </c>
      <c r="I595" s="1270">
        <f>I596+I598</f>
        <v>0</v>
      </c>
      <c r="J595" s="1270">
        <f>J596+J598</f>
        <v>0</v>
      </c>
      <c r="K595" s="212" t="e">
        <f t="shared" si="233"/>
        <v>#DIV/0!</v>
      </c>
      <c r="L595" s="1226"/>
    </row>
    <row r="596" spans="1:12" ht="15.75" hidden="1" thickBot="1">
      <c r="A596" s="4072"/>
      <c r="B596" s="4074" t="s">
        <v>288</v>
      </c>
      <c r="C596" s="4074"/>
      <c r="D596" s="851"/>
      <c r="E596" s="628"/>
      <c r="F596" s="890"/>
      <c r="G596" s="1271"/>
      <c r="H596" s="209" t="e">
        <f t="shared" si="237"/>
        <v>#DIV/0!</v>
      </c>
      <c r="I596" s="628"/>
      <c r="J596" s="1271"/>
      <c r="K596" s="212" t="e">
        <f t="shared" si="233"/>
        <v>#DIV/0!</v>
      </c>
      <c r="L596" s="259"/>
    </row>
    <row r="597" spans="1:12" ht="15.75" hidden="1" thickBot="1">
      <c r="A597" s="4072"/>
      <c r="B597" s="4075"/>
      <c r="C597" s="1272"/>
      <c r="D597" s="4078"/>
      <c r="E597" s="632"/>
      <c r="F597" s="533"/>
      <c r="G597" s="534"/>
      <c r="H597" s="209" t="e">
        <f t="shared" si="237"/>
        <v>#DIV/0!</v>
      </c>
      <c r="I597" s="632"/>
      <c r="J597" s="534"/>
      <c r="K597" s="212" t="e">
        <f t="shared" si="233"/>
        <v>#DIV/0!</v>
      </c>
      <c r="L597" s="247"/>
    </row>
    <row r="598" spans="1:12" ht="15" hidden="1" customHeight="1">
      <c r="A598" s="4072"/>
      <c r="B598" s="4076"/>
      <c r="C598" s="1273" t="s">
        <v>663</v>
      </c>
      <c r="D598" s="4079"/>
      <c r="E598" s="632"/>
      <c r="F598" s="230"/>
      <c r="G598" s="231"/>
      <c r="H598" s="209" t="e">
        <f t="shared" si="237"/>
        <v>#DIV/0!</v>
      </c>
      <c r="I598" s="632"/>
      <c r="J598" s="231"/>
      <c r="K598" s="212" t="e">
        <f t="shared" si="233"/>
        <v>#DIV/0!</v>
      </c>
      <c r="L598" s="247"/>
    </row>
    <row r="599" spans="1:12" ht="38.25" hidden="1" customHeight="1">
      <c r="A599" s="4072"/>
      <c r="B599" s="4076"/>
      <c r="C599" s="1273" t="s">
        <v>664</v>
      </c>
      <c r="D599" s="4079"/>
      <c r="E599" s="632"/>
      <c r="F599" s="230"/>
      <c r="G599" s="231"/>
      <c r="H599" s="209" t="e">
        <f t="shared" si="237"/>
        <v>#DIV/0!</v>
      </c>
      <c r="I599" s="632"/>
      <c r="J599" s="231"/>
      <c r="K599" s="212" t="e">
        <f t="shared" si="233"/>
        <v>#DIV/0!</v>
      </c>
      <c r="L599" s="247"/>
    </row>
    <row r="600" spans="1:12" ht="15.75" hidden="1" thickBot="1">
      <c r="A600" s="4072"/>
      <c r="B600" s="4077"/>
      <c r="C600" s="1273"/>
      <c r="D600" s="4080"/>
      <c r="E600" s="632"/>
      <c r="F600" s="230"/>
      <c r="G600" s="231"/>
      <c r="H600" s="209" t="e">
        <f t="shared" si="237"/>
        <v>#DIV/0!</v>
      </c>
      <c r="I600" s="632"/>
      <c r="J600" s="231"/>
      <c r="K600" s="212" t="e">
        <f t="shared" si="233"/>
        <v>#DIV/0!</v>
      </c>
      <c r="L600" s="247"/>
    </row>
    <row r="601" spans="1:12" ht="0.75" hidden="1" customHeight="1" thickBot="1">
      <c r="A601" s="4073"/>
      <c r="B601" s="4081" t="s">
        <v>293</v>
      </c>
      <c r="C601" s="4081"/>
      <c r="D601" s="885"/>
      <c r="E601" s="1160"/>
      <c r="F601" s="1160"/>
      <c r="G601" s="1161"/>
      <c r="H601" s="635" t="e">
        <f t="shared" si="237"/>
        <v>#DIV/0!</v>
      </c>
      <c r="I601" s="1160"/>
      <c r="J601" s="1274"/>
      <c r="K601" s="234" t="e">
        <f t="shared" si="233"/>
        <v>#DIV/0!</v>
      </c>
      <c r="L601" s="451"/>
    </row>
    <row r="602" spans="1:12" ht="15.75" thickBot="1">
      <c r="A602" s="786">
        <v>921</v>
      </c>
      <c r="B602" s="1275"/>
      <c r="C602" s="1276" t="s">
        <v>665</v>
      </c>
      <c r="D602" s="1277"/>
      <c r="E602" s="1278">
        <f>SUM(E603,E607,E614)</f>
        <v>4377727</v>
      </c>
      <c r="F602" s="1278">
        <f t="shared" ref="F602:G602" si="238">SUM(F603,F607,F614)</f>
        <v>4688280</v>
      </c>
      <c r="G602" s="1278">
        <f t="shared" si="238"/>
        <v>4685722</v>
      </c>
      <c r="H602" s="574">
        <f t="shared" si="237"/>
        <v>1.0703550038638774</v>
      </c>
      <c r="I602" s="1278">
        <f>SUM(I603,I607,I614)</f>
        <v>0</v>
      </c>
      <c r="J602" s="1278">
        <f t="shared" ref="J602" si="239">SUM(J603,J607,J614)</f>
        <v>4685722</v>
      </c>
      <c r="K602" s="394">
        <f t="shared" si="233"/>
        <v>0.99945438412381515</v>
      </c>
      <c r="L602" s="812"/>
    </row>
    <row r="603" spans="1:12" ht="15.75" thickBot="1">
      <c r="A603" s="1279"/>
      <c r="B603" s="880">
        <v>92108</v>
      </c>
      <c r="C603" s="795" t="s">
        <v>666</v>
      </c>
      <c r="D603" s="796"/>
      <c r="E603" s="817">
        <f>SUM(E604,E606)</f>
        <v>0</v>
      </c>
      <c r="F603" s="817">
        <f t="shared" ref="F603:G603" si="240">SUM(F604,F606)</f>
        <v>50000</v>
      </c>
      <c r="G603" s="818">
        <f t="shared" si="240"/>
        <v>0</v>
      </c>
      <c r="H603" s="555"/>
      <c r="I603" s="817">
        <f>SUM(I604,I606)</f>
        <v>0</v>
      </c>
      <c r="J603" s="818">
        <f t="shared" ref="J603" si="241">SUM(J604,J606)</f>
        <v>0</v>
      </c>
      <c r="K603" s="238">
        <f t="shared" si="233"/>
        <v>0</v>
      </c>
      <c r="L603" s="469"/>
    </row>
    <row r="604" spans="1:12">
      <c r="A604" s="1021"/>
      <c r="B604" s="4055" t="s">
        <v>288</v>
      </c>
      <c r="C604" s="4056"/>
      <c r="D604" s="1027"/>
      <c r="E604" s="1280">
        <f>SUM(E605)</f>
        <v>0</v>
      </c>
      <c r="F604" s="1280">
        <f t="shared" ref="F604:G604" si="242">SUM(F605)</f>
        <v>50000</v>
      </c>
      <c r="G604" s="1281">
        <f t="shared" si="242"/>
        <v>0</v>
      </c>
      <c r="H604" s="559"/>
      <c r="I604" s="1280">
        <f>SUM(I605)</f>
        <v>0</v>
      </c>
      <c r="J604" s="1282">
        <f t="shared" ref="J604" si="243">SUM(J605)</f>
        <v>0</v>
      </c>
      <c r="K604" s="203">
        <f t="shared" si="233"/>
        <v>0</v>
      </c>
      <c r="L604" s="1283"/>
    </row>
    <row r="605" spans="1:12" ht="38.25">
      <c r="A605" s="1021"/>
      <c r="B605" s="1284"/>
      <c r="C605" s="1285" t="s">
        <v>352</v>
      </c>
      <c r="D605" s="881" t="s">
        <v>353</v>
      </c>
      <c r="E605" s="681">
        <v>0</v>
      </c>
      <c r="F605" s="477">
        <v>50000</v>
      </c>
      <c r="G605" s="548">
        <v>0</v>
      </c>
      <c r="H605" s="209"/>
      <c r="I605" s="252">
        <v>0</v>
      </c>
      <c r="J605" s="479">
        <f t="shared" ref="J605" si="244">SUM(G605,I605)</f>
        <v>0</v>
      </c>
      <c r="K605" s="212">
        <f t="shared" si="233"/>
        <v>0</v>
      </c>
      <c r="L605" s="1040"/>
    </row>
    <row r="606" spans="1:12" ht="15.75" thickBot="1">
      <c r="A606" s="1234"/>
      <c r="B606" s="4057" t="s">
        <v>293</v>
      </c>
      <c r="C606" s="4058"/>
      <c r="D606" s="802"/>
      <c r="E606" s="878">
        <v>0</v>
      </c>
      <c r="F606" s="878">
        <v>0</v>
      </c>
      <c r="G606" s="719">
        <v>0</v>
      </c>
      <c r="H606" s="602"/>
      <c r="I606" s="878">
        <v>0</v>
      </c>
      <c r="J606" s="1286">
        <v>0</v>
      </c>
      <c r="K606" s="554"/>
      <c r="L606" s="1283"/>
    </row>
    <row r="607" spans="1:12" ht="15.75" thickBot="1">
      <c r="A607" s="4059"/>
      <c r="B607" s="794">
        <v>92116</v>
      </c>
      <c r="C607" s="795" t="s">
        <v>667</v>
      </c>
      <c r="D607" s="796"/>
      <c r="E607" s="468">
        <f>SUM(E608,E613)</f>
        <v>4372727</v>
      </c>
      <c r="F607" s="468">
        <f>SUM(F608,F613)</f>
        <v>4633280</v>
      </c>
      <c r="G607" s="842">
        <f>SUM(G608,G613)</f>
        <v>4613222</v>
      </c>
      <c r="H607" s="555">
        <f t="shared" si="237"/>
        <v>1.0549988599791389</v>
      </c>
      <c r="I607" s="468">
        <f>SUM(I608,I613)</f>
        <v>0</v>
      </c>
      <c r="J607" s="842">
        <f>SUM(J608,J613)</f>
        <v>4613222</v>
      </c>
      <c r="K607" s="238">
        <f t="shared" si="233"/>
        <v>0.99567088542026383</v>
      </c>
      <c r="L607" s="469"/>
    </row>
    <row r="608" spans="1:12" ht="15" customHeight="1">
      <c r="A608" s="4060"/>
      <c r="B608" s="4062" t="s">
        <v>288</v>
      </c>
      <c r="C608" s="4063"/>
      <c r="D608" s="820"/>
      <c r="E608" s="472">
        <f>SUM(E609:E612)</f>
        <v>4372727</v>
      </c>
      <c r="F608" s="472">
        <f t="shared" ref="F608:G608" si="245">SUM(F609:F612)</f>
        <v>4633280</v>
      </c>
      <c r="G608" s="473">
        <f t="shared" si="245"/>
        <v>4613222</v>
      </c>
      <c r="H608" s="559">
        <f t="shared" si="237"/>
        <v>1.0549988599791389</v>
      </c>
      <c r="I608" s="472">
        <f>SUM(I609:I612)</f>
        <v>0</v>
      </c>
      <c r="J608" s="473">
        <f t="shared" ref="J608" si="246">SUM(J609:J612)</f>
        <v>4613222</v>
      </c>
      <c r="K608" s="203">
        <f t="shared" si="233"/>
        <v>0.99567088542026383</v>
      </c>
      <c r="L608" s="474"/>
    </row>
    <row r="609" spans="1:12" s="1291" customFormat="1" ht="39.75" customHeight="1">
      <c r="A609" s="4060"/>
      <c r="B609" s="4064"/>
      <c r="C609" s="1287" t="s">
        <v>668</v>
      </c>
      <c r="D609" s="1288" t="s">
        <v>340</v>
      </c>
      <c r="E609" s="1289">
        <v>0</v>
      </c>
      <c r="F609" s="1289">
        <v>11</v>
      </c>
      <c r="G609" s="1290">
        <v>0</v>
      </c>
      <c r="H609" s="209"/>
      <c r="I609" s="215">
        <v>0</v>
      </c>
      <c r="J609" s="479">
        <f t="shared" ref="J609:J612" si="247">SUM(G609,I609)</f>
        <v>0</v>
      </c>
      <c r="K609" s="212">
        <f t="shared" si="233"/>
        <v>0</v>
      </c>
      <c r="L609" s="512"/>
    </row>
    <row r="610" spans="1:12" ht="39.75" customHeight="1">
      <c r="A610" s="4060"/>
      <c r="B610" s="4065"/>
      <c r="C610" s="1292" t="s">
        <v>669</v>
      </c>
      <c r="D610" s="1039">
        <v>2310</v>
      </c>
      <c r="E610" s="681">
        <v>4292727</v>
      </c>
      <c r="F610" s="477">
        <v>4548222</v>
      </c>
      <c r="G610" s="548">
        <v>4528222</v>
      </c>
      <c r="H610" s="209">
        <f t="shared" si="237"/>
        <v>1.0548590674412792</v>
      </c>
      <c r="I610" s="252">
        <v>0</v>
      </c>
      <c r="J610" s="479">
        <f t="shared" si="247"/>
        <v>4528222</v>
      </c>
      <c r="K610" s="212">
        <f t="shared" si="233"/>
        <v>0.9956026772659734</v>
      </c>
      <c r="L610" s="494"/>
    </row>
    <row r="611" spans="1:12" ht="39.75" customHeight="1">
      <c r="A611" s="4060"/>
      <c r="B611" s="4065"/>
      <c r="C611" s="1292" t="s">
        <v>670</v>
      </c>
      <c r="D611" s="1142">
        <v>2320</v>
      </c>
      <c r="E611" s="702">
        <v>80000</v>
      </c>
      <c r="F611" s="703">
        <v>85000</v>
      </c>
      <c r="G611" s="704">
        <v>85000</v>
      </c>
      <c r="H611" s="209">
        <f t="shared" si="237"/>
        <v>1.0625</v>
      </c>
      <c r="I611" s="215">
        <v>0</v>
      </c>
      <c r="J611" s="479">
        <f t="shared" si="247"/>
        <v>85000</v>
      </c>
      <c r="K611" s="212">
        <f t="shared" si="233"/>
        <v>1</v>
      </c>
      <c r="L611" s="718"/>
    </row>
    <row r="612" spans="1:12" ht="39.75" customHeight="1">
      <c r="A612" s="4060"/>
      <c r="B612" s="4066"/>
      <c r="C612" s="1293" t="s">
        <v>671</v>
      </c>
      <c r="D612" s="1096">
        <v>2910</v>
      </c>
      <c r="E612" s="1139">
        <v>0</v>
      </c>
      <c r="F612" s="1294">
        <v>47</v>
      </c>
      <c r="G612" s="1295">
        <v>0</v>
      </c>
      <c r="H612" s="209"/>
      <c r="I612" s="215">
        <v>0</v>
      </c>
      <c r="J612" s="479">
        <f t="shared" si="247"/>
        <v>0</v>
      </c>
      <c r="K612" s="212">
        <f t="shared" si="233"/>
        <v>0</v>
      </c>
      <c r="L612" s="718"/>
    </row>
    <row r="613" spans="1:12" ht="15.75" thickBot="1">
      <c r="A613" s="4060"/>
      <c r="B613" s="4067" t="s">
        <v>293</v>
      </c>
      <c r="C613" s="4068"/>
      <c r="D613" s="802"/>
      <c r="E613" s="685">
        <v>0</v>
      </c>
      <c r="F613" s="685">
        <v>0</v>
      </c>
      <c r="G613" s="686">
        <v>0</v>
      </c>
      <c r="H613" s="567"/>
      <c r="I613" s="685">
        <v>0</v>
      </c>
      <c r="J613" s="687">
        <v>0</v>
      </c>
      <c r="K613" s="450"/>
      <c r="L613" s="489"/>
    </row>
    <row r="614" spans="1:12" ht="15" customHeight="1" thickBot="1">
      <c r="A614" s="4060"/>
      <c r="B614" s="880">
        <v>92195</v>
      </c>
      <c r="C614" s="795" t="s">
        <v>312</v>
      </c>
      <c r="D614" s="796"/>
      <c r="E614" s="842">
        <f>E615+E617</f>
        <v>5000</v>
      </c>
      <c r="F614" s="842">
        <f>F615+F617</f>
        <v>5000</v>
      </c>
      <c r="G614" s="842">
        <f>G615+G617</f>
        <v>72500</v>
      </c>
      <c r="H614" s="555">
        <f t="shared" si="237"/>
        <v>14.5</v>
      </c>
      <c r="I614" s="842">
        <f>I615+I617</f>
        <v>0</v>
      </c>
      <c r="J614" s="842">
        <f>J615+J617</f>
        <v>72500</v>
      </c>
      <c r="K614" s="238">
        <f t="shared" si="233"/>
        <v>14.5</v>
      </c>
      <c r="L614" s="469"/>
    </row>
    <row r="615" spans="1:12" ht="14.25" customHeight="1">
      <c r="A615" s="4060"/>
      <c r="B615" s="4062" t="s">
        <v>288</v>
      </c>
      <c r="C615" s="4063"/>
      <c r="D615" s="798"/>
      <c r="E615" s="838">
        <f>SUM(E616:E616)</f>
        <v>5000</v>
      </c>
      <c r="F615" s="838">
        <f>SUM(F616:F616)</f>
        <v>5000</v>
      </c>
      <c r="G615" s="1059">
        <f>SUM(G616:G616)</f>
        <v>72500</v>
      </c>
      <c r="H615" s="559">
        <f t="shared" si="237"/>
        <v>14.5</v>
      </c>
      <c r="I615" s="838">
        <f>SUM(I616:I616)</f>
        <v>0</v>
      </c>
      <c r="J615" s="473">
        <f>SUM(J616:J616)</f>
        <v>72500</v>
      </c>
      <c r="K615" s="203">
        <f t="shared" si="233"/>
        <v>14.5</v>
      </c>
      <c r="L615" s="474"/>
    </row>
    <row r="616" spans="1:12" ht="60.75" customHeight="1">
      <c r="A616" s="4060"/>
      <c r="B616" s="1296"/>
      <c r="C616" s="1111" t="s">
        <v>672</v>
      </c>
      <c r="D616" s="1288" t="s">
        <v>437</v>
      </c>
      <c r="E616" s="681">
        <v>5000</v>
      </c>
      <c r="F616" s="477">
        <v>5000</v>
      </c>
      <c r="G616" s="548">
        <v>72500</v>
      </c>
      <c r="H616" s="209">
        <f t="shared" si="237"/>
        <v>14.5</v>
      </c>
      <c r="I616" s="252">
        <v>0</v>
      </c>
      <c r="J616" s="479">
        <f t="shared" ref="J616" si="248">SUM(G616,I616)</f>
        <v>72500</v>
      </c>
      <c r="K616" s="212">
        <f t="shared" si="233"/>
        <v>14.5</v>
      </c>
      <c r="L616" s="494"/>
    </row>
    <row r="617" spans="1:12" ht="15.75" customHeight="1" thickBot="1">
      <c r="A617" s="4061"/>
      <c r="B617" s="4069" t="s">
        <v>293</v>
      </c>
      <c r="C617" s="4070"/>
      <c r="D617" s="1297"/>
      <c r="E617" s="803">
        <v>0</v>
      </c>
      <c r="F617" s="803">
        <v>0</v>
      </c>
      <c r="G617" s="804">
        <v>0</v>
      </c>
      <c r="H617" s="602"/>
      <c r="I617" s="803">
        <v>0</v>
      </c>
      <c r="J617" s="804">
        <v>0</v>
      </c>
      <c r="K617" s="554"/>
      <c r="L617" s="474"/>
    </row>
    <row r="618" spans="1:12" s="156" customFormat="1" ht="26.25" thickBot="1">
      <c r="A618" s="844">
        <v>925</v>
      </c>
      <c r="B618" s="1298"/>
      <c r="C618" s="1299" t="s">
        <v>673</v>
      </c>
      <c r="D618" s="1300"/>
      <c r="E618" s="321">
        <f t="shared" ref="E618:G618" si="249">E619+E625</f>
        <v>619000</v>
      </c>
      <c r="F618" s="321">
        <f t="shared" si="249"/>
        <v>754000</v>
      </c>
      <c r="G618" s="322">
        <f t="shared" si="249"/>
        <v>650000</v>
      </c>
      <c r="H618" s="574">
        <f t="shared" si="237"/>
        <v>1.0500807754442649</v>
      </c>
      <c r="I618" s="321">
        <f t="shared" ref="I618:J618" si="250">I619+I625</f>
        <v>0</v>
      </c>
      <c r="J618" s="322">
        <f t="shared" si="250"/>
        <v>650000</v>
      </c>
      <c r="K618" s="394">
        <f t="shared" si="233"/>
        <v>0.86206896551724133</v>
      </c>
      <c r="L618" s="639"/>
    </row>
    <row r="619" spans="1:12" s="156" customFormat="1" ht="16.5" customHeight="1" thickBot="1">
      <c r="A619" s="1301"/>
      <c r="B619" s="907">
        <v>92502</v>
      </c>
      <c r="C619" s="949" t="s">
        <v>674</v>
      </c>
      <c r="D619" s="950"/>
      <c r="E619" s="314">
        <f t="shared" ref="E619:G619" si="251">E620+E624</f>
        <v>619000</v>
      </c>
      <c r="F619" s="314">
        <f t="shared" si="251"/>
        <v>754000</v>
      </c>
      <c r="G619" s="315">
        <f t="shared" si="251"/>
        <v>650000</v>
      </c>
      <c r="H619" s="742">
        <f t="shared" si="237"/>
        <v>1.0500807754442649</v>
      </c>
      <c r="I619" s="314">
        <f t="shared" ref="I619:J619" si="252">I620+I624</f>
        <v>0</v>
      </c>
      <c r="J619" s="315">
        <f t="shared" si="252"/>
        <v>650000</v>
      </c>
      <c r="K619" s="238">
        <f t="shared" si="233"/>
        <v>0.86206896551724133</v>
      </c>
      <c r="L619" s="290"/>
    </row>
    <row r="620" spans="1:12" s="156" customFormat="1" ht="15.75" customHeight="1">
      <c r="A620" s="1301"/>
      <c r="B620" s="4045" t="s">
        <v>288</v>
      </c>
      <c r="C620" s="4046"/>
      <c r="D620" s="1000"/>
      <c r="E620" s="240">
        <f>SUM(E621:E623)</f>
        <v>619000</v>
      </c>
      <c r="F620" s="240">
        <f>SUM(F621:F623)</f>
        <v>754000</v>
      </c>
      <c r="G620" s="241">
        <f>SUM(G621:G623)</f>
        <v>650000</v>
      </c>
      <c r="H620" s="559">
        <f t="shared" si="237"/>
        <v>1.0500807754442649</v>
      </c>
      <c r="I620" s="240">
        <f>SUM(I621:I623)</f>
        <v>0</v>
      </c>
      <c r="J620" s="241">
        <f>SUM(J621:J623)</f>
        <v>650000</v>
      </c>
      <c r="K620" s="203">
        <f t="shared" si="233"/>
        <v>0.86206896551724133</v>
      </c>
      <c r="L620" s="294"/>
    </row>
    <row r="621" spans="1:12" s="156" customFormat="1" ht="27.75" customHeight="1">
      <c r="A621" s="1302"/>
      <c r="B621" s="1303"/>
      <c r="C621" s="1304" t="s">
        <v>592</v>
      </c>
      <c r="D621" s="1305" t="s">
        <v>537</v>
      </c>
      <c r="E621" s="1306">
        <v>619000</v>
      </c>
      <c r="F621" s="1306">
        <v>619000</v>
      </c>
      <c r="G621" s="409">
        <v>650000</v>
      </c>
      <c r="H621" s="209">
        <f t="shared" si="237"/>
        <v>1.0500807754442649</v>
      </c>
      <c r="I621" s="252">
        <v>0</v>
      </c>
      <c r="J621" s="479">
        <f t="shared" ref="J621:J622" si="253">SUM(G621,I621)</f>
        <v>650000</v>
      </c>
      <c r="K621" s="212">
        <f t="shared" si="233"/>
        <v>1.0500807754442649</v>
      </c>
      <c r="L621" s="297"/>
    </row>
    <row r="622" spans="1:12" s="156" customFormat="1" ht="27.75" customHeight="1">
      <c r="A622" s="1301"/>
      <c r="B622" s="1307"/>
      <c r="C622" s="1168" t="s">
        <v>316</v>
      </c>
      <c r="D622" s="921">
        <v>2460</v>
      </c>
      <c r="E622" s="206">
        <v>0</v>
      </c>
      <c r="F622" s="207">
        <v>135000</v>
      </c>
      <c r="G622" s="208">
        <v>0</v>
      </c>
      <c r="H622" s="209"/>
      <c r="I622" s="252">
        <v>0</v>
      </c>
      <c r="J622" s="479">
        <f t="shared" si="253"/>
        <v>0</v>
      </c>
      <c r="K622" s="212">
        <f t="shared" si="233"/>
        <v>0</v>
      </c>
      <c r="L622" s="300"/>
    </row>
    <row r="623" spans="1:12" s="156" customFormat="1" ht="25.5" hidden="1">
      <c r="A623" s="1301"/>
      <c r="B623" s="1308"/>
      <c r="C623" s="1273" t="s">
        <v>316</v>
      </c>
      <c r="D623" s="1309">
        <v>2460</v>
      </c>
      <c r="E623" s="268">
        <v>0</v>
      </c>
      <c r="F623" s="207"/>
      <c r="G623" s="208"/>
      <c r="H623" s="209"/>
      <c r="I623" s="252"/>
      <c r="J623" s="211"/>
      <c r="K623" s="212" t="e">
        <f t="shared" si="233"/>
        <v>#DIV/0!</v>
      </c>
      <c r="L623" s="247"/>
    </row>
    <row r="624" spans="1:12" s="156" customFormat="1" ht="15.75" customHeight="1" thickBot="1">
      <c r="A624" s="1310"/>
      <c r="B624" s="4047" t="s">
        <v>293</v>
      </c>
      <c r="C624" s="4048"/>
      <c r="D624" s="1259"/>
      <c r="E624" s="277">
        <v>0</v>
      </c>
      <c r="F624" s="277">
        <v>0</v>
      </c>
      <c r="G624" s="257">
        <v>0</v>
      </c>
      <c r="H624" s="418"/>
      <c r="I624" s="277">
        <v>0</v>
      </c>
      <c r="J624" s="957">
        <v>0</v>
      </c>
      <c r="K624" s="419"/>
      <c r="L624" s="451"/>
    </row>
    <row r="625" spans="1:12" ht="21.75" hidden="1" customHeight="1" thickBot="1">
      <c r="A625" s="1311"/>
      <c r="B625" s="1312">
        <v>92595</v>
      </c>
      <c r="C625" s="1313" t="s">
        <v>312</v>
      </c>
      <c r="D625" s="1314"/>
      <c r="E625" s="960">
        <v>0</v>
      </c>
      <c r="F625" s="533"/>
      <c r="G625" s="534"/>
      <c r="H625" s="209" t="e">
        <f t="shared" si="237"/>
        <v>#DIV/0!</v>
      </c>
      <c r="I625" s="960">
        <v>0</v>
      </c>
      <c r="J625" s="534"/>
      <c r="K625" s="212" t="e">
        <f t="shared" si="233"/>
        <v>#DIV/0!</v>
      </c>
      <c r="L625" s="376"/>
    </row>
    <row r="626" spans="1:12" ht="15" hidden="1" customHeight="1">
      <c r="A626" s="1112"/>
      <c r="B626" s="4049" t="s">
        <v>288</v>
      </c>
      <c r="C626" s="4050"/>
      <c r="D626" s="1315"/>
      <c r="E626" s="628">
        <v>0</v>
      </c>
      <c r="F626" s="230"/>
      <c r="G626" s="231"/>
      <c r="H626" s="209" t="e">
        <f t="shared" si="237"/>
        <v>#DIV/0!</v>
      </c>
      <c r="I626" s="628">
        <v>0</v>
      </c>
      <c r="J626" s="231"/>
      <c r="K626" s="212" t="e">
        <f t="shared" si="233"/>
        <v>#DIV/0!</v>
      </c>
      <c r="L626" s="247"/>
    </row>
    <row r="627" spans="1:12" ht="26.25" hidden="1" thickBot="1">
      <c r="A627" s="1112"/>
      <c r="B627" s="1308"/>
      <c r="C627" s="1273" t="s">
        <v>316</v>
      </c>
      <c r="D627" s="1309">
        <v>2460</v>
      </c>
      <c r="E627" s="632">
        <v>0</v>
      </c>
      <c r="F627" s="230"/>
      <c r="G627" s="231"/>
      <c r="H627" s="209" t="e">
        <f t="shared" si="237"/>
        <v>#DIV/0!</v>
      </c>
      <c r="I627" s="632">
        <v>0</v>
      </c>
      <c r="J627" s="231"/>
      <c r="K627" s="212" t="e">
        <f t="shared" si="233"/>
        <v>#DIV/0!</v>
      </c>
      <c r="L627" s="247"/>
    </row>
    <row r="628" spans="1:12" ht="15" hidden="1" customHeight="1" thickBot="1">
      <c r="A628" s="1112"/>
      <c r="B628" s="4051" t="s">
        <v>334</v>
      </c>
      <c r="C628" s="4052"/>
      <c r="D628" s="902"/>
      <c r="E628" s="1316">
        <v>0</v>
      </c>
      <c r="F628" s="540"/>
      <c r="G628" s="541"/>
      <c r="H628" s="635" t="e">
        <f t="shared" si="237"/>
        <v>#DIV/0!</v>
      </c>
      <c r="I628" s="1316">
        <v>0</v>
      </c>
      <c r="J628" s="541"/>
      <c r="K628" s="234" t="e">
        <f t="shared" si="233"/>
        <v>#DIV/0!</v>
      </c>
      <c r="L628" s="235"/>
    </row>
    <row r="629" spans="1:12" ht="30.75" customHeight="1" thickBot="1">
      <c r="A629" s="4053" t="s">
        <v>675</v>
      </c>
      <c r="B629" s="4054"/>
      <c r="C629" s="4054"/>
      <c r="D629" s="1317"/>
      <c r="E629" s="1318">
        <f>E8+E39+E45+E50+E66+E128+E140+E150+E173+E179+E198+E271+E276+E282+E294+E360+E423+E468+E508+E550+E568+E602+E618</f>
        <v>1402239891</v>
      </c>
      <c r="F629" s="1318">
        <f>F8+F39+F45+F50+F66+F128+F140+F150+F173+F179+F198+F271+F276+F282+F294+F360+F423+F468+F508+F550+F568+F602+F618</f>
        <v>1482810029</v>
      </c>
      <c r="G629" s="1318">
        <f>G8+G39+G45+G50+G66+G128+G140+G150+G173+G179+G198+G271+G276+G282+G294+G360+G423+G468+G508+G550+G568+G602+G618</f>
        <v>1514636147</v>
      </c>
      <c r="H629" s="1319">
        <f t="shared" si="237"/>
        <v>1.080154798562923</v>
      </c>
      <c r="I629" s="1318">
        <f>I8+I39+I45+I50+I66+I128+I140+I150+I173+I179+I198+I271+I276+I282+I294+I360+I423+I468+I508+I550+I568+I602+I618</f>
        <v>318601086</v>
      </c>
      <c r="J629" s="1320">
        <f>J8+J39+J45+J50+J66+J128+J140+J150+J173+J179+J198+J271+J276+J282+J294+J360+J423+J468+J508+J550+J568+J602+J618</f>
        <v>1833237233</v>
      </c>
      <c r="K629" s="1321">
        <f t="shared" si="233"/>
        <v>1.2363264323457042</v>
      </c>
      <c r="L629" s="1322"/>
    </row>
    <row r="630" spans="1:12">
      <c r="A630" s="1323" t="s">
        <v>676</v>
      </c>
      <c r="B630" s="1324"/>
      <c r="C630" s="1324"/>
      <c r="D630" s="1325"/>
      <c r="E630" s="1326"/>
      <c r="F630" s="1327"/>
      <c r="G630" s="416"/>
      <c r="H630" s="559"/>
      <c r="I630" s="417"/>
      <c r="J630" s="417"/>
      <c r="K630" s="203"/>
      <c r="L630" s="858"/>
    </row>
    <row r="631" spans="1:12">
      <c r="A631" s="1328" t="s">
        <v>677</v>
      </c>
      <c r="B631" s="1329"/>
      <c r="C631" s="1330"/>
      <c r="D631" s="1331"/>
      <c r="E631" s="1332">
        <f>E10+E17+E25+E33+E41+E47+E52+E68+E81+E89+E97+E102+E123+E130+E137+E142+E152+E158+E162+E175+E192+E200+E205+E223+E228+E233+E237+E241+E273+E278+E284+E290+E296+E300+E306+E310+E319+E323+E327+E342+E362+E371+E381+E398+E413+E425+E437+E451+E455+E459+E470+E475+E488+E516+E521+E533+E559+E563+E570+E574+E579+E586+E592+E604+E608+E615+E620+E354</f>
        <v>1082551790</v>
      </c>
      <c r="F631" s="1332">
        <f>F10+F17+F25+F33+F41+F47+F52+F68+F81+F89+F97+F102+F123+F130+F137+F142+F152+F158+F162+F175+F192+F200+F205+F223+F228+F233+F237+F241+F273+F278+F284+F290+F296+F300+F306+F310+F319+F323+F327+F342+F362+F371+F381+F398+F413+F425+F437+F451+F455+F459+F470+F475+F488+F516+F521+F533+F559+F563+F570+F574+F579+F586+F592+F604+F608+F615+F620+F354</f>
        <v>1141374783</v>
      </c>
      <c r="G631" s="1333">
        <f>G10+G17+G25+G33+G41+G47+G52+G68+G81+G89+G97+G102+G123+G130+G137+G142+G152+G158+G162+G175+G192+G200+G205+G223+G228+G233+G237+G241+G273+G278+G284+G290+G296+G300+G306+G310+G319+G323+G327+G342+G362+G371+G381+G398+G413+G425+G437+G451+G455+G459+G470+G475+G488+G516+G521+G533+G559+G563+G570+G574+G579+G586+G592+G604+G608+G615+G620+G354</f>
        <v>1032026730</v>
      </c>
      <c r="H631" s="1334">
        <f t="shared" si="237"/>
        <v>0.95332781261208754</v>
      </c>
      <c r="I631" s="1332">
        <f>I10+I17+I25+I33+I41+I47+I52+I68+I81+I89+I97+I102+I123+I130+I137+I142+I152+I158+I162+I175+I192+I200+I205+I223+I228+I233+I237+I241+I273+I278+I284+I290+I296+I300+I306+I310+I319+I323+I327+I342+I362+I371+I381+I398+I413+I425+I437+I451+I455+I459+I470+I475+I488+I516+I521+I533+I559+I563+I570+I574+I579+I586+I592+I604+I608+I615+I620+I354</f>
        <v>318446487</v>
      </c>
      <c r="J631" s="1332">
        <f>J10+J17+J25+J33+J41+J47+J52+J68+J81+J89+J97+J102+J123+J130+J137+J142+J152+J158+J162+J175+J192+J200+J205+J223+J228+J233+J237+J241+J273+J278+J284+J290+J296+J300+J306+J310+J319+J323+J327+J342+J362+J371+J381+J398+J413+J425+J437+J451+J455+J459+J470+J475+J488+J516+J521+J533+J559+J563+J570+J574+J579+J586+J592+J604+J608+J615+J620+J354</f>
        <v>1350473217</v>
      </c>
      <c r="K631" s="1335">
        <f t="shared" si="233"/>
        <v>1.1831987504143062</v>
      </c>
      <c r="L631" s="1336"/>
    </row>
    <row r="632" spans="1:12" hidden="1">
      <c r="A632" s="4039" t="s">
        <v>678</v>
      </c>
      <c r="B632" s="4040"/>
      <c r="C632" s="4040"/>
      <c r="D632" s="1337"/>
      <c r="E632" s="417"/>
      <c r="F632" s="417"/>
      <c r="G632" s="416"/>
      <c r="H632" s="1334" t="e">
        <f t="shared" si="237"/>
        <v>#DIV/0!</v>
      </c>
      <c r="I632" s="417"/>
      <c r="J632" s="417"/>
      <c r="K632" s="1335" t="e">
        <f t="shared" si="233"/>
        <v>#DIV/0!</v>
      </c>
      <c r="L632" s="1336"/>
    </row>
    <row r="633" spans="1:12" hidden="1">
      <c r="A633" s="4039" t="s">
        <v>679</v>
      </c>
      <c r="B633" s="4040"/>
      <c r="C633" s="4040"/>
      <c r="D633" s="1337"/>
      <c r="E633" s="417"/>
      <c r="F633" s="417"/>
      <c r="G633" s="416"/>
      <c r="H633" s="1334" t="e">
        <f t="shared" si="237"/>
        <v>#DIV/0!</v>
      </c>
      <c r="I633" s="417"/>
      <c r="J633" s="417"/>
      <c r="K633" s="1335" t="e">
        <f t="shared" si="233"/>
        <v>#DIV/0!</v>
      </c>
      <c r="L633" s="1336"/>
    </row>
    <row r="634" spans="1:12" s="1347" customFormat="1" ht="15.75" thickBot="1">
      <c r="A634" s="1338" t="s">
        <v>680</v>
      </c>
      <c r="B634" s="1339"/>
      <c r="C634" s="1340"/>
      <c r="D634" s="1341"/>
      <c r="E634" s="1342">
        <f>E14+E23+E30+E38+E44+E49+E77+E83+E95+E100+E108+E121+E127+E147+E156+E160+E168+E172+E177+E184+E197+E203+E219+E226+E239+E281+E316+E369+E411+E434+E449+E628+E263+E288+E293+E298+E308+E313+E325+E334+E348+E365+E379+E396+E407+E438+E453+E466+E473+E486+E519+E531+E557+E561+E567+E577+E584+E590+E624+E617+E56+E303+E420+E428+E503+E543+E613+E139+E135+E601+E190+E514+E549+E594+E606+E443+E572+E321+E275+E235+E457+E231+E357</f>
        <v>319688101</v>
      </c>
      <c r="F634" s="1342">
        <f>F14+F23+F30+F38+F44+F49+F77+F83+F95+F100+F108+F121+F127+F147+F156+F160+F168+F172+F177+F184+F197+F203+F219+F226+F239+F281+F316+F369+F411+F434+F449+F628+F263+F288+F293+F298+F308+F313+F325+F334+F348+F365+F379+F396+F407+F438+F453+F466+F473+F486+F519+F531+F557+F561+F567+F577+F584+F590+F624+F617+F56+F303+F420+F428+F503+F543+F613+F139+F135+F601+F190+F514+F549+F594+F606+F443+F572+F321+F275+F235+F457+F231+F357</f>
        <v>341435246</v>
      </c>
      <c r="G634" s="1343">
        <f>G14+G23+G30+G38+G44+G49+G77+G83+G95+G100+G108+G121+G127+G147+G156+G160+G168+G172+G177+G184+G197+G203+G219+G226+G239+G281+G316+G369+G411+G434+G449+G628+G263+G288+G293+G298+G308+G313+G325+G334+G348+G365+G379+G396+G407+G438+G453+G466+G473+G486+G519+G531+G557+G561+G567+G577+G584+G590+G624+G617+G56+G303+G420+G428+G503+G543+G613+G139+G135+G601+G190+G514+G549+G594+G606+G443+G572+G321+G275+G235+G457+G231+G357</f>
        <v>482609417</v>
      </c>
      <c r="H634" s="1344">
        <f t="shared" si="237"/>
        <v>1.5096258368402644</v>
      </c>
      <c r="I634" s="1342">
        <f>I14+I23+I30+I38+I44+I49+I77+I83+I95+I100+I108+I121+I127+I147+I156+I160+I168+I172+I177+I184+I197+I203+I219+I226+I239+I281+I316+I369+I411+I434+I449+I628+I263+I288+I293+I298+I308+I313+I325+I334+I348+I365+I379+I396+I407+I438+I453+I466+I473+I486+I519+I531+I557+I561+I567+I577+I584+I590+I624+I617+I56+I303+I420+I428+I503+I543+I613+I139+I135+I601+I190+I514+I549+I594+I606+I443+I572+I321+I275+I235+I457+I231+I357</f>
        <v>154599</v>
      </c>
      <c r="J634" s="1342">
        <f>J14+J23+J30+J38+J44+J49+J77+J83+J95+J100+J108+J121+J127+J147+J156+J160+J168+J172+J177+J184+J197+J203+J219+J226+J239+J281+J316+J369+J411+J434+J449+J628+J263+J288+J293+J298+J308+J313+J325+J334+J348+J365+J379+J396+J407+J438+J453+J466+J473+J486+J519+J531+J557+J561+J567+J577+J584+J590+J624+J617+J56+J303+J420+J428+J503+J543+J613+J139+J135+J601+J190+J514+J549+J594+J606+J443+J572+J321+J275+J235+J457+J231+J357</f>
        <v>482764016</v>
      </c>
      <c r="K634" s="1345">
        <f t="shared" si="233"/>
        <v>1.4139255441718515</v>
      </c>
      <c r="L634" s="1346"/>
    </row>
    <row r="635" spans="1:12" s="1347" customFormat="1" hidden="1">
      <c r="A635" s="4041" t="s">
        <v>678</v>
      </c>
      <c r="B635" s="4042"/>
      <c r="C635" s="4042"/>
      <c r="D635" s="1348"/>
      <c r="E635" s="1349">
        <v>316686501</v>
      </c>
      <c r="F635" s="1350"/>
      <c r="G635" s="1350"/>
      <c r="H635" s="269">
        <f t="shared" si="237"/>
        <v>0</v>
      </c>
      <c r="I635" s="1351"/>
      <c r="J635" s="1352"/>
      <c r="K635" s="1352"/>
      <c r="L635" s="1353"/>
    </row>
    <row r="636" spans="1:12" s="1347" customFormat="1" ht="15.75" hidden="1" thickBot="1">
      <c r="A636" s="4043" t="s">
        <v>679</v>
      </c>
      <c r="B636" s="4044"/>
      <c r="C636" s="4044"/>
      <c r="D636" s="1354"/>
      <c r="E636" s="1355">
        <v>3001600</v>
      </c>
      <c r="F636" s="1350"/>
      <c r="G636" s="1350"/>
      <c r="H636" s="186">
        <f t="shared" si="237"/>
        <v>0</v>
      </c>
      <c r="I636" s="1351"/>
      <c r="J636" s="1352"/>
      <c r="K636" s="1352"/>
      <c r="L636" s="1353"/>
    </row>
    <row r="637" spans="1:12" s="1347" customFormat="1" hidden="1">
      <c r="A637" s="939"/>
      <c r="B637" s="939"/>
      <c r="C637" s="939"/>
      <c r="D637" s="939"/>
      <c r="E637" s="1356"/>
      <c r="F637" s="1350">
        <f>SUM(F631:F634)</f>
        <v>1482810029</v>
      </c>
      <c r="G637" s="1350">
        <f>SUM(G631:G634)</f>
        <v>1514636147</v>
      </c>
      <c r="H637" s="186" t="e">
        <f t="shared" si="237"/>
        <v>#DIV/0!</v>
      </c>
      <c r="I637" s="1351"/>
      <c r="J637" s="1352"/>
      <c r="K637" s="1352"/>
      <c r="L637" s="1353"/>
    </row>
    <row r="638" spans="1:12" s="1347" customFormat="1" ht="15.75">
      <c r="A638" s="939"/>
      <c r="B638" s="939"/>
      <c r="C638" s="1357"/>
      <c r="D638" s="1357"/>
      <c r="E638" s="1356"/>
      <c r="F638" s="1356"/>
      <c r="G638" s="1356"/>
      <c r="H638" s="1358"/>
      <c r="I638" s="1356"/>
      <c r="J638" s="1356"/>
      <c r="K638" s="1356"/>
      <c r="L638" s="1353"/>
    </row>
    <row r="639" spans="1:12" s="1347" customFormat="1" ht="15.75" hidden="1">
      <c r="A639" s="939"/>
      <c r="B639" s="939"/>
      <c r="C639" s="1359"/>
      <c r="E639" s="1356"/>
      <c r="F639" s="1350"/>
      <c r="G639" s="1350"/>
      <c r="H639" s="1358"/>
      <c r="I639" s="1350"/>
      <c r="J639" s="1350"/>
      <c r="K639" s="1350"/>
      <c r="L639" s="1353"/>
    </row>
    <row r="640" spans="1:12" s="1347" customFormat="1" hidden="1">
      <c r="A640" s="939"/>
      <c r="B640" s="939"/>
      <c r="C640" s="939"/>
      <c r="D640" s="939"/>
      <c r="E640" s="1356"/>
      <c r="F640" s="1350"/>
      <c r="G640" s="1350"/>
      <c r="H640" s="1358"/>
      <c r="I640" s="1350"/>
      <c r="J640" s="1350"/>
      <c r="K640" s="1350"/>
      <c r="L640" s="1353"/>
    </row>
    <row r="641" spans="1:12" s="1347" customFormat="1" hidden="1">
      <c r="A641" s="939"/>
      <c r="B641" s="939"/>
      <c r="C641" s="939"/>
      <c r="D641" s="939"/>
      <c r="E641" s="1356"/>
      <c r="F641" s="1350"/>
      <c r="G641" s="1350"/>
      <c r="H641" s="1358"/>
      <c r="I641" s="1350"/>
      <c r="J641" s="1350"/>
      <c r="K641" s="1350"/>
      <c r="L641" s="1353"/>
    </row>
    <row r="642" spans="1:12" s="1347" customFormat="1" hidden="1">
      <c r="A642" s="939"/>
      <c r="B642" s="939"/>
      <c r="C642" s="939"/>
      <c r="D642" s="939"/>
      <c r="E642" s="1356"/>
      <c r="F642" s="1350"/>
      <c r="G642" s="1350"/>
      <c r="H642" s="1358"/>
      <c r="I642" s="1350"/>
      <c r="J642" s="1350"/>
      <c r="K642" s="1350"/>
      <c r="L642" s="1353"/>
    </row>
    <row r="643" spans="1:12" s="1347" customFormat="1" hidden="1">
      <c r="A643" s="939"/>
      <c r="B643" s="939"/>
      <c r="C643" s="939"/>
      <c r="D643" s="939"/>
      <c r="E643" s="1356"/>
      <c r="F643" s="1350"/>
      <c r="G643" s="1350"/>
      <c r="H643" s="1358"/>
      <c r="I643" s="1350"/>
      <c r="J643" s="1350"/>
      <c r="K643" s="1350"/>
      <c r="L643" s="1353"/>
    </row>
    <row r="644" spans="1:12" s="1347" customFormat="1" hidden="1">
      <c r="A644" s="939"/>
      <c r="B644" s="939"/>
      <c r="C644" s="939"/>
      <c r="D644" s="939"/>
      <c r="E644" s="1356"/>
      <c r="F644" s="1350"/>
      <c r="G644" s="1350"/>
      <c r="H644" s="1358"/>
      <c r="I644" s="1350"/>
      <c r="J644" s="1350"/>
      <c r="K644" s="1350"/>
      <c r="L644" s="1353"/>
    </row>
    <row r="645" spans="1:12" s="1347" customFormat="1" hidden="1">
      <c r="A645" s="939"/>
      <c r="B645" s="939"/>
      <c r="C645" s="939"/>
      <c r="D645" s="939"/>
      <c r="E645" s="1356"/>
      <c r="F645" s="1350"/>
      <c r="G645" s="1350"/>
      <c r="H645" s="1358"/>
      <c r="I645" s="1350"/>
      <c r="J645" s="1350"/>
      <c r="K645" s="1350"/>
      <c r="L645" s="1353"/>
    </row>
    <row r="646" spans="1:12" s="1347" customFormat="1" hidden="1">
      <c r="A646" s="939"/>
      <c r="B646" s="939"/>
      <c r="C646" s="939"/>
      <c r="D646" s="939"/>
      <c r="E646" s="1356"/>
      <c r="F646" s="1350"/>
      <c r="G646" s="1350"/>
      <c r="H646" s="1358"/>
      <c r="I646" s="1350"/>
      <c r="J646" s="1350"/>
      <c r="K646" s="1350"/>
      <c r="L646" s="1353"/>
    </row>
    <row r="647" spans="1:12" s="1347" customFormat="1" hidden="1">
      <c r="A647" s="939"/>
      <c r="B647" s="939"/>
      <c r="C647" s="939"/>
      <c r="D647" s="939"/>
      <c r="E647" s="1356"/>
      <c r="F647" s="1350"/>
      <c r="G647" s="1350"/>
      <c r="H647" s="1358"/>
      <c r="I647" s="1350"/>
      <c r="J647" s="1350"/>
      <c r="K647" s="1350"/>
      <c r="L647" s="1353"/>
    </row>
    <row r="648" spans="1:12" s="1347" customFormat="1">
      <c r="A648" s="939"/>
      <c r="B648" s="939"/>
      <c r="C648" s="939"/>
      <c r="D648" s="939"/>
      <c r="E648" s="1356"/>
      <c r="F648" s="1356"/>
      <c r="G648" s="1356"/>
      <c r="H648" s="1358"/>
      <c r="I648" s="1356"/>
      <c r="J648" s="1356"/>
      <c r="K648" s="1356"/>
      <c r="L648" s="1353"/>
    </row>
    <row r="649" spans="1:12" s="1347" customFormat="1">
      <c r="A649" s="939"/>
      <c r="B649" s="939"/>
      <c r="C649" s="939"/>
      <c r="D649" s="939"/>
      <c r="E649" s="1360"/>
      <c r="F649" s="1358"/>
      <c r="G649" s="1358"/>
      <c r="H649" s="1358"/>
      <c r="I649" s="1361"/>
      <c r="J649" s="1358"/>
      <c r="K649" s="1358"/>
      <c r="L649" s="1353"/>
    </row>
    <row r="650" spans="1:12" s="1347" customFormat="1">
      <c r="A650" s="939"/>
      <c r="B650" s="939"/>
      <c r="C650" s="939"/>
      <c r="D650" s="939"/>
      <c r="E650" s="1360"/>
      <c r="F650" s="1358"/>
      <c r="G650" s="1358"/>
      <c r="H650" s="1358"/>
      <c r="I650" s="1361"/>
      <c r="J650" s="1358"/>
      <c r="K650" s="1358"/>
      <c r="L650" s="1353"/>
    </row>
    <row r="651" spans="1:12" s="1347" customFormat="1">
      <c r="A651" s="939"/>
      <c r="B651" s="939"/>
      <c r="C651" s="939"/>
      <c r="D651" s="943"/>
      <c r="E651" s="1360"/>
      <c r="F651" s="1358"/>
      <c r="G651" s="1358"/>
      <c r="H651" s="1358"/>
      <c r="I651" s="1361"/>
      <c r="J651" s="1358"/>
      <c r="K651" s="1358"/>
      <c r="L651" s="1353"/>
    </row>
    <row r="652" spans="1:12" s="1347" customFormat="1">
      <c r="A652" s="939"/>
      <c r="B652" s="939"/>
      <c r="C652" s="939"/>
      <c r="D652" s="939"/>
      <c r="E652" s="1360"/>
      <c r="F652" s="1358"/>
      <c r="G652" s="1358"/>
      <c r="H652" s="1358"/>
      <c r="I652" s="1361"/>
      <c r="J652" s="1358"/>
      <c r="K652" s="1358"/>
      <c r="L652" s="1353"/>
    </row>
    <row r="653" spans="1:12" s="1347" customFormat="1">
      <c r="A653" s="939"/>
      <c r="B653" s="939"/>
      <c r="C653" s="939"/>
      <c r="D653" s="939"/>
      <c r="E653" s="1360"/>
      <c r="F653" s="1358"/>
      <c r="G653" s="1358"/>
      <c r="H653" s="1358"/>
      <c r="I653" s="1361"/>
      <c r="J653" s="1358"/>
      <c r="K653" s="1358"/>
      <c r="L653" s="1353"/>
    </row>
    <row r="654" spans="1:12" s="1347" customFormat="1">
      <c r="A654" s="939"/>
      <c r="B654" s="939"/>
      <c r="C654" s="939"/>
      <c r="D654" s="939"/>
      <c r="E654" s="1360"/>
      <c r="F654" s="1358"/>
      <c r="G654" s="1358"/>
      <c r="H654" s="1358"/>
      <c r="I654" s="1361"/>
      <c r="J654" s="1358"/>
      <c r="K654" s="1358"/>
      <c r="L654" s="1353"/>
    </row>
    <row r="655" spans="1:12" s="1347" customFormat="1">
      <c r="A655" s="939"/>
      <c r="B655" s="939"/>
      <c r="C655" s="939"/>
      <c r="D655" s="939"/>
      <c r="E655" s="1360"/>
      <c r="F655" s="1358"/>
      <c r="G655" s="1358"/>
      <c r="H655" s="1358"/>
      <c r="I655" s="1361"/>
      <c r="J655" s="1358"/>
      <c r="K655" s="1358"/>
      <c r="L655" s="1353"/>
    </row>
    <row r="656" spans="1:12" s="1347" customFormat="1">
      <c r="A656" s="939"/>
      <c r="B656" s="939"/>
      <c r="C656" s="939"/>
      <c r="D656" s="939"/>
      <c r="E656" s="1360"/>
      <c r="F656" s="1358"/>
      <c r="G656" s="1358"/>
      <c r="H656" s="1358"/>
      <c r="I656" s="1361"/>
      <c r="J656" s="1358"/>
      <c r="K656" s="1358"/>
      <c r="L656" s="1353"/>
    </row>
    <row r="657" spans="1:12" s="1347" customFormat="1">
      <c r="A657" s="939"/>
      <c r="B657" s="939"/>
      <c r="C657" s="939"/>
      <c r="D657" s="939"/>
      <c r="E657" s="1360"/>
      <c r="F657" s="1358"/>
      <c r="G657" s="1358"/>
      <c r="H657" s="1358"/>
      <c r="I657" s="1361"/>
      <c r="J657" s="1358"/>
      <c r="K657" s="1358"/>
      <c r="L657" s="1353"/>
    </row>
    <row r="658" spans="1:12" s="1347" customFormat="1">
      <c r="A658" s="939"/>
      <c r="B658" s="939"/>
      <c r="C658" s="1362"/>
      <c r="D658" s="1362"/>
      <c r="E658" s="1363"/>
      <c r="F658" s="1364"/>
      <c r="G658" s="1358"/>
      <c r="H658" s="1358"/>
      <c r="I658" s="1361"/>
      <c r="J658" s="1358"/>
      <c r="K658" s="1358"/>
      <c r="L658" s="1353"/>
    </row>
    <row r="659" spans="1:12" s="1347" customFormat="1">
      <c r="A659" s="939"/>
      <c r="B659" s="939"/>
      <c r="C659" s="939"/>
      <c r="D659" s="939"/>
      <c r="E659" s="1360"/>
      <c r="F659" s="1358"/>
      <c r="G659" s="1358"/>
      <c r="H659" s="1358"/>
      <c r="I659" s="1361"/>
      <c r="J659" s="1358"/>
      <c r="K659" s="1358"/>
      <c r="L659" s="1353"/>
    </row>
    <row r="660" spans="1:12" s="1347" customFormat="1">
      <c r="A660" s="939"/>
      <c r="B660" s="939"/>
      <c r="C660" s="939"/>
      <c r="D660" s="939"/>
      <c r="E660" s="1360"/>
      <c r="F660" s="1358"/>
      <c r="G660" s="1358"/>
      <c r="H660" s="1358"/>
      <c r="I660" s="1361"/>
      <c r="J660" s="1358"/>
      <c r="K660" s="1358"/>
      <c r="L660" s="1353"/>
    </row>
    <row r="661" spans="1:12" s="1347" customFormat="1">
      <c r="A661" s="939"/>
      <c r="B661" s="939"/>
      <c r="C661" s="939"/>
      <c r="D661" s="939"/>
      <c r="E661" s="1360"/>
      <c r="F661" s="1358"/>
      <c r="G661" s="1358"/>
      <c r="H661" s="1358"/>
      <c r="I661" s="1361"/>
      <c r="J661" s="1358"/>
      <c r="K661" s="1358"/>
      <c r="L661" s="1353"/>
    </row>
    <row r="662" spans="1:12" s="1347" customFormat="1">
      <c r="A662" s="939"/>
      <c r="B662" s="939"/>
      <c r="C662" s="939"/>
      <c r="D662" s="939"/>
      <c r="E662" s="1360"/>
      <c r="F662" s="1358"/>
      <c r="G662" s="1358"/>
      <c r="H662" s="1358"/>
      <c r="I662" s="1361"/>
      <c r="J662" s="1358"/>
      <c r="K662" s="1358"/>
      <c r="L662" s="1353"/>
    </row>
    <row r="663" spans="1:12" s="1347" customFormat="1">
      <c r="A663" s="939"/>
      <c r="B663" s="939"/>
      <c r="C663" s="939"/>
      <c r="D663" s="939"/>
      <c r="E663" s="1360"/>
      <c r="F663" s="1358"/>
      <c r="G663" s="1358"/>
      <c r="H663" s="1358"/>
      <c r="I663" s="1361"/>
      <c r="J663" s="1358"/>
      <c r="K663" s="1358"/>
      <c r="L663" s="1353"/>
    </row>
    <row r="664" spans="1:12" s="1347" customFormat="1">
      <c r="A664" s="939"/>
      <c r="B664" s="939"/>
      <c r="C664" s="939"/>
      <c r="D664" s="939"/>
      <c r="E664" s="1360"/>
      <c r="F664" s="1358"/>
      <c r="G664" s="1358"/>
      <c r="H664" s="1358"/>
      <c r="I664" s="1361"/>
      <c r="J664" s="1358"/>
      <c r="K664" s="1358"/>
      <c r="L664" s="1353"/>
    </row>
    <row r="665" spans="1:12" s="1347" customFormat="1">
      <c r="A665" s="939"/>
      <c r="B665" s="939"/>
      <c r="C665" s="939"/>
      <c r="D665" s="939"/>
      <c r="E665" s="1360"/>
      <c r="F665" s="1358"/>
      <c r="G665" s="1358"/>
      <c r="H665" s="1358"/>
      <c r="I665" s="1361"/>
      <c r="J665" s="1358"/>
      <c r="K665" s="1358"/>
      <c r="L665" s="1353"/>
    </row>
    <row r="666" spans="1:12" s="1347" customFormat="1">
      <c r="A666" s="939"/>
      <c r="B666" s="939"/>
      <c r="C666" s="939"/>
      <c r="D666" s="939"/>
      <c r="E666" s="1360"/>
      <c r="F666" s="1358"/>
      <c r="G666" s="1358"/>
      <c r="H666" s="1358"/>
      <c r="I666" s="1361"/>
      <c r="J666" s="1358"/>
      <c r="K666" s="1358"/>
      <c r="L666" s="1353"/>
    </row>
    <row r="667" spans="1:12" s="1347" customFormat="1">
      <c r="A667" s="939"/>
      <c r="B667" s="939"/>
      <c r="C667" s="939"/>
      <c r="D667" s="939"/>
      <c r="E667" s="1360"/>
      <c r="F667" s="1358"/>
      <c r="G667" s="1358"/>
      <c r="H667" s="1358"/>
      <c r="I667" s="1361"/>
      <c r="J667" s="1358"/>
      <c r="K667" s="1358"/>
      <c r="L667" s="1353"/>
    </row>
    <row r="668" spans="1:12" s="1347" customFormat="1">
      <c r="A668" s="939"/>
      <c r="B668" s="939"/>
      <c r="C668" s="1362"/>
      <c r="D668" s="1362"/>
      <c r="E668" s="1363"/>
      <c r="F668" s="1364"/>
      <c r="G668" s="1358"/>
      <c r="H668" s="1358"/>
      <c r="I668" s="1361"/>
      <c r="J668" s="1358"/>
      <c r="K668" s="1358"/>
      <c r="L668" s="1353"/>
    </row>
    <row r="669" spans="1:12" s="1347" customFormat="1">
      <c r="A669" s="939"/>
      <c r="B669" s="939"/>
      <c r="C669" s="939"/>
      <c r="D669" s="939"/>
      <c r="E669" s="1360"/>
      <c r="F669" s="1358"/>
      <c r="G669" s="1358"/>
      <c r="H669" s="1358"/>
      <c r="I669" s="1361"/>
      <c r="J669" s="1358"/>
      <c r="K669" s="1358"/>
      <c r="L669" s="1353"/>
    </row>
    <row r="670" spans="1:12" s="1347" customFormat="1">
      <c r="A670" s="939"/>
      <c r="B670" s="939"/>
      <c r="C670" s="939"/>
      <c r="D670" s="939"/>
      <c r="E670" s="1360"/>
      <c r="F670" s="1358"/>
      <c r="G670" s="1358"/>
      <c r="H670" s="1358"/>
      <c r="I670" s="1361"/>
      <c r="J670" s="1358"/>
      <c r="K670" s="1358"/>
      <c r="L670" s="1353"/>
    </row>
    <row r="671" spans="1:12" s="1347" customFormat="1">
      <c r="A671" s="939"/>
      <c r="B671" s="939"/>
      <c r="C671" s="939"/>
      <c r="D671" s="939"/>
      <c r="E671" s="1360"/>
      <c r="F671" s="1358"/>
      <c r="G671" s="1358"/>
      <c r="H671" s="1358"/>
      <c r="I671" s="1361"/>
      <c r="J671" s="1358"/>
      <c r="K671" s="1358"/>
      <c r="L671" s="1353"/>
    </row>
    <row r="672" spans="1:12" s="1347" customFormat="1">
      <c r="A672" s="939"/>
      <c r="B672" s="939"/>
      <c r="C672" s="939"/>
      <c r="D672" s="939"/>
      <c r="E672" s="1360"/>
      <c r="F672" s="1358"/>
      <c r="G672" s="1358"/>
      <c r="H672" s="1358"/>
      <c r="I672" s="1361"/>
      <c r="J672" s="1358"/>
      <c r="K672" s="1358"/>
      <c r="L672" s="1353"/>
    </row>
    <row r="673" spans="1:12" s="1347" customFormat="1">
      <c r="A673" s="939"/>
      <c r="B673" s="939"/>
      <c r="C673" s="939"/>
      <c r="D673" s="939"/>
      <c r="E673" s="1360"/>
      <c r="F673" s="1358"/>
      <c r="G673" s="1358"/>
      <c r="H673" s="1358"/>
      <c r="I673" s="1361"/>
      <c r="J673" s="1358"/>
      <c r="K673" s="1358"/>
      <c r="L673" s="1353"/>
    </row>
    <row r="674" spans="1:12" s="1347" customFormat="1">
      <c r="A674" s="939"/>
      <c r="B674" s="939"/>
      <c r="C674" s="939"/>
      <c r="D674" s="939"/>
      <c r="E674" s="1360"/>
      <c r="F674" s="1358"/>
      <c r="G674" s="1358"/>
      <c r="H674" s="1358"/>
      <c r="I674" s="1361"/>
      <c r="J674" s="1358"/>
      <c r="K674" s="1358"/>
      <c r="L674" s="1353"/>
    </row>
    <row r="675" spans="1:12" s="1347" customFormat="1">
      <c r="A675" s="939"/>
      <c r="B675" s="939"/>
      <c r="C675" s="939"/>
      <c r="D675" s="939"/>
      <c r="E675" s="1360"/>
      <c r="F675" s="1358"/>
      <c r="G675" s="1358"/>
      <c r="H675" s="1358"/>
      <c r="I675" s="1361"/>
      <c r="J675" s="1358"/>
      <c r="K675" s="1358"/>
      <c r="L675" s="1353"/>
    </row>
    <row r="676" spans="1:12" s="1347" customFormat="1">
      <c r="A676" s="939"/>
      <c r="B676" s="939"/>
      <c r="C676" s="939"/>
      <c r="D676" s="939"/>
      <c r="E676" s="1360"/>
      <c r="F676" s="1358"/>
      <c r="G676" s="1358"/>
      <c r="H676" s="1358"/>
      <c r="I676" s="1361"/>
      <c r="J676" s="1358"/>
      <c r="K676" s="1358"/>
      <c r="L676" s="1353"/>
    </row>
    <row r="677" spans="1:12" s="1347" customFormat="1">
      <c r="A677" s="939"/>
      <c r="B677" s="939"/>
      <c r="C677" s="939"/>
      <c r="D677" s="939"/>
      <c r="E677" s="1360"/>
      <c r="F677" s="1358"/>
      <c r="G677" s="1358"/>
      <c r="H677" s="1358"/>
      <c r="I677" s="1361"/>
      <c r="J677" s="1358"/>
      <c r="K677" s="1358"/>
      <c r="L677" s="1353"/>
    </row>
    <row r="678" spans="1:12" s="1347" customFormat="1">
      <c r="A678" s="939"/>
      <c r="B678" s="939"/>
      <c r="C678" s="939"/>
      <c r="D678" s="939"/>
      <c r="E678" s="1360"/>
      <c r="F678" s="1358"/>
      <c r="G678" s="1358"/>
      <c r="H678" s="1358"/>
      <c r="I678" s="1361"/>
      <c r="J678" s="1358"/>
      <c r="K678" s="1358"/>
      <c r="L678" s="1353"/>
    </row>
    <row r="679" spans="1:12" s="1347" customFormat="1">
      <c r="A679" s="939"/>
      <c r="B679" s="939"/>
      <c r="C679" s="939"/>
      <c r="D679" s="939"/>
      <c r="E679" s="1360"/>
      <c r="F679" s="1358"/>
      <c r="G679" s="1358"/>
      <c r="H679" s="1358"/>
      <c r="I679" s="1361"/>
      <c r="J679" s="1358"/>
      <c r="K679" s="1358"/>
      <c r="L679" s="1353"/>
    </row>
    <row r="680" spans="1:12" s="1347" customFormat="1">
      <c r="A680" s="939"/>
      <c r="B680" s="939"/>
      <c r="C680" s="939"/>
      <c r="D680" s="939"/>
      <c r="E680" s="1360"/>
      <c r="F680" s="1358"/>
      <c r="G680" s="1358"/>
      <c r="H680" s="1358"/>
      <c r="I680" s="1361"/>
      <c r="J680" s="1358"/>
      <c r="K680" s="1358"/>
      <c r="L680" s="1353"/>
    </row>
    <row r="681" spans="1:12" s="1347" customFormat="1">
      <c r="A681" s="939"/>
      <c r="B681" s="939"/>
      <c r="C681" s="939"/>
      <c r="D681" s="939"/>
      <c r="E681" s="1360"/>
      <c r="F681" s="1358"/>
      <c r="G681" s="1358"/>
      <c r="H681" s="1358"/>
      <c r="I681" s="1361"/>
      <c r="J681" s="1358"/>
      <c r="K681" s="1358"/>
      <c r="L681" s="1353"/>
    </row>
    <row r="682" spans="1:12" s="1347" customFormat="1">
      <c r="A682" s="939"/>
      <c r="B682" s="939"/>
      <c r="C682" s="939"/>
      <c r="D682" s="939"/>
      <c r="E682" s="1360"/>
      <c r="F682" s="1358"/>
      <c r="G682" s="1358"/>
      <c r="H682" s="1358"/>
      <c r="I682" s="1361"/>
      <c r="J682" s="1358"/>
      <c r="K682" s="1358"/>
      <c r="L682" s="1353"/>
    </row>
    <row r="683" spans="1:12" s="1347" customFormat="1">
      <c r="A683" s="939"/>
      <c r="B683" s="939"/>
      <c r="C683" s="939"/>
      <c r="D683" s="939"/>
      <c r="E683" s="1360"/>
      <c r="F683" s="1358"/>
      <c r="G683" s="1358"/>
      <c r="H683" s="1358"/>
      <c r="I683" s="1361"/>
      <c r="J683" s="1358"/>
      <c r="K683" s="1358"/>
      <c r="L683" s="1353"/>
    </row>
    <row r="684" spans="1:12" s="1347" customFormat="1">
      <c r="A684" s="939"/>
      <c r="B684" s="939"/>
      <c r="C684" s="939"/>
      <c r="D684" s="939"/>
      <c r="E684" s="1360"/>
      <c r="F684" s="1358"/>
      <c r="G684" s="1358"/>
      <c r="H684" s="1358"/>
      <c r="I684" s="1361"/>
      <c r="J684" s="1358"/>
      <c r="K684" s="1358"/>
      <c r="L684" s="1353"/>
    </row>
    <row r="685" spans="1:12" s="1347" customFormat="1">
      <c r="A685" s="939"/>
      <c r="B685" s="939"/>
      <c r="C685" s="939"/>
      <c r="D685" s="939"/>
      <c r="E685" s="1360"/>
      <c r="F685" s="1358"/>
      <c r="G685" s="1358"/>
      <c r="H685" s="1358"/>
      <c r="I685" s="1361"/>
      <c r="J685" s="1358"/>
      <c r="K685" s="1358"/>
      <c r="L685" s="1353"/>
    </row>
    <row r="686" spans="1:12" s="1347" customFormat="1">
      <c r="A686" s="939"/>
      <c r="B686" s="939"/>
      <c r="C686" s="939"/>
      <c r="D686" s="939"/>
      <c r="E686" s="1360"/>
      <c r="F686" s="1358"/>
      <c r="G686" s="1358"/>
      <c r="H686" s="1358"/>
      <c r="I686" s="1361"/>
      <c r="J686" s="1358"/>
      <c r="K686" s="1358"/>
      <c r="L686" s="1353"/>
    </row>
    <row r="687" spans="1:12" s="1347" customFormat="1">
      <c r="A687" s="939"/>
      <c r="B687" s="939"/>
      <c r="C687" s="939"/>
      <c r="D687" s="939"/>
      <c r="E687" s="1360"/>
      <c r="F687" s="1358"/>
      <c r="G687" s="1358"/>
      <c r="H687" s="1358"/>
      <c r="I687" s="1361"/>
      <c r="J687" s="1358"/>
      <c r="K687" s="1358"/>
      <c r="L687" s="1353"/>
    </row>
    <row r="688" spans="1:12" s="1347" customFormat="1">
      <c r="A688" s="939"/>
      <c r="B688" s="939"/>
      <c r="C688" s="939"/>
      <c r="D688" s="939"/>
      <c r="E688" s="1360"/>
      <c r="F688" s="1358"/>
      <c r="G688" s="1358"/>
      <c r="H688" s="1358"/>
      <c r="I688" s="1361"/>
      <c r="J688" s="1358"/>
      <c r="K688" s="1358"/>
      <c r="L688" s="1353"/>
    </row>
    <row r="689" spans="1:12" s="1347" customFormat="1">
      <c r="A689" s="939"/>
      <c r="B689" s="939"/>
      <c r="C689" s="939"/>
      <c r="D689" s="939"/>
      <c r="E689" s="1360"/>
      <c r="F689" s="1358"/>
      <c r="G689" s="1358"/>
      <c r="H689" s="1358"/>
      <c r="I689" s="1361"/>
      <c r="J689" s="1358"/>
      <c r="K689" s="1358"/>
      <c r="L689" s="1353"/>
    </row>
    <row r="690" spans="1:12" s="1347" customFormat="1">
      <c r="A690" s="939"/>
      <c r="B690" s="939"/>
      <c r="C690" s="939"/>
      <c r="D690" s="939"/>
      <c r="E690" s="1360"/>
      <c r="F690" s="1358"/>
      <c r="G690" s="1358"/>
      <c r="H690" s="1358"/>
      <c r="I690" s="1361"/>
      <c r="J690" s="1358"/>
      <c r="K690" s="1358"/>
      <c r="L690" s="1353"/>
    </row>
    <row r="691" spans="1:12" s="1347" customFormat="1">
      <c r="A691" s="939"/>
      <c r="B691" s="939"/>
      <c r="C691" s="939"/>
      <c r="D691" s="939"/>
      <c r="E691" s="1360"/>
      <c r="F691" s="1358"/>
      <c r="G691" s="1358"/>
      <c r="H691" s="1358"/>
      <c r="I691" s="1361"/>
      <c r="J691" s="1358"/>
      <c r="K691" s="1358"/>
      <c r="L691" s="1353"/>
    </row>
    <row r="692" spans="1:12" s="1347" customFormat="1">
      <c r="A692" s="939"/>
      <c r="B692" s="939"/>
      <c r="C692" s="939"/>
      <c r="D692" s="939"/>
      <c r="E692" s="1360"/>
      <c r="F692" s="1358"/>
      <c r="G692" s="1358"/>
      <c r="H692" s="1358"/>
      <c r="I692" s="1361"/>
      <c r="J692" s="1358"/>
      <c r="K692" s="1358"/>
      <c r="L692" s="1353"/>
    </row>
    <row r="693" spans="1:12" s="1347" customFormat="1">
      <c r="A693" s="939"/>
      <c r="B693" s="939"/>
      <c r="C693" s="939"/>
      <c r="D693" s="939"/>
      <c r="E693" s="1360"/>
      <c r="F693" s="1358"/>
      <c r="G693" s="1358"/>
      <c r="H693" s="1358"/>
      <c r="I693" s="1361"/>
      <c r="J693" s="1358"/>
      <c r="K693" s="1358"/>
      <c r="L693" s="1353"/>
    </row>
    <row r="694" spans="1:12" s="1347" customFormat="1">
      <c r="A694" s="939"/>
      <c r="B694" s="939"/>
      <c r="C694" s="939"/>
      <c r="D694" s="939"/>
      <c r="E694" s="1360"/>
      <c r="F694" s="1358"/>
      <c r="G694" s="1358"/>
      <c r="H694" s="1358"/>
      <c r="I694" s="1361"/>
      <c r="J694" s="1358"/>
      <c r="K694" s="1358"/>
      <c r="L694" s="1353"/>
    </row>
    <row r="695" spans="1:12" s="1347" customFormat="1">
      <c r="A695" s="939"/>
      <c r="B695" s="939"/>
      <c r="C695" s="939"/>
      <c r="D695" s="939"/>
      <c r="E695" s="1360"/>
      <c r="F695" s="1358"/>
      <c r="G695" s="1358"/>
      <c r="H695" s="1358"/>
      <c r="I695" s="1361"/>
      <c r="J695" s="1358"/>
      <c r="K695" s="1358"/>
      <c r="L695" s="1353"/>
    </row>
    <row r="696" spans="1:12" s="1347" customFormat="1">
      <c r="A696" s="939"/>
      <c r="B696" s="939"/>
      <c r="C696" s="939"/>
      <c r="D696" s="939"/>
      <c r="E696" s="1360"/>
      <c r="F696" s="1358"/>
      <c r="G696" s="1358"/>
      <c r="H696" s="1358"/>
      <c r="I696" s="1361"/>
      <c r="J696" s="1358"/>
      <c r="K696" s="1358"/>
      <c r="L696" s="1353"/>
    </row>
    <row r="697" spans="1:12" s="1347" customFormat="1">
      <c r="A697" s="939"/>
      <c r="B697" s="939"/>
      <c r="C697" s="939"/>
      <c r="D697" s="939"/>
      <c r="E697" s="1360"/>
      <c r="F697" s="1358"/>
      <c r="G697" s="1358"/>
      <c r="H697" s="1358"/>
      <c r="I697" s="1361"/>
      <c r="J697" s="1358"/>
      <c r="K697" s="1358"/>
      <c r="L697" s="1353"/>
    </row>
    <row r="698" spans="1:12" s="1347" customFormat="1">
      <c r="A698" s="939"/>
      <c r="B698" s="939"/>
      <c r="C698" s="939"/>
      <c r="D698" s="939"/>
      <c r="E698" s="1360"/>
      <c r="F698" s="1358"/>
      <c r="G698" s="1358"/>
      <c r="H698" s="1358"/>
      <c r="I698" s="1361"/>
      <c r="J698" s="1358"/>
      <c r="K698" s="1358"/>
      <c r="L698" s="1353"/>
    </row>
    <row r="699" spans="1:12" s="1347" customFormat="1">
      <c r="A699" s="939"/>
      <c r="B699" s="939"/>
      <c r="C699" s="939"/>
      <c r="D699" s="939"/>
      <c r="E699" s="1360"/>
      <c r="F699" s="1358"/>
      <c r="G699" s="1358"/>
      <c r="H699" s="1358"/>
      <c r="I699" s="1361"/>
      <c r="J699" s="1358"/>
      <c r="K699" s="1358"/>
      <c r="L699" s="1353"/>
    </row>
    <row r="700" spans="1:12" s="1347" customFormat="1">
      <c r="A700" s="939"/>
      <c r="B700" s="939"/>
      <c r="C700" s="939"/>
      <c r="D700" s="939"/>
      <c r="E700" s="1360"/>
      <c r="F700" s="1358"/>
      <c r="G700" s="1358"/>
      <c r="H700" s="1358"/>
      <c r="I700" s="1361"/>
      <c r="J700" s="1358"/>
      <c r="K700" s="1358"/>
      <c r="L700" s="1353"/>
    </row>
    <row r="701" spans="1:12" s="1347" customFormat="1">
      <c r="A701" s="939"/>
      <c r="B701" s="939"/>
      <c r="C701" s="939"/>
      <c r="D701" s="939"/>
      <c r="E701" s="1360"/>
      <c r="F701" s="1358"/>
      <c r="G701" s="1358"/>
      <c r="H701" s="1358"/>
      <c r="I701" s="1361"/>
      <c r="J701" s="1358"/>
      <c r="K701" s="1358"/>
      <c r="L701" s="1353"/>
    </row>
    <row r="702" spans="1:12" s="1347" customFormat="1">
      <c r="A702" s="939"/>
      <c r="B702" s="939"/>
      <c r="C702" s="939"/>
      <c r="D702" s="939"/>
      <c r="E702" s="1360"/>
      <c r="F702" s="1358"/>
      <c r="G702" s="1358"/>
      <c r="H702" s="1358"/>
      <c r="I702" s="1361"/>
      <c r="J702" s="1358"/>
      <c r="K702" s="1358"/>
      <c r="L702" s="1353"/>
    </row>
    <row r="703" spans="1:12" s="1347" customFormat="1">
      <c r="A703" s="939"/>
      <c r="B703" s="939"/>
      <c r="C703" s="939"/>
      <c r="D703" s="939"/>
      <c r="E703" s="1360"/>
      <c r="F703" s="1358"/>
      <c r="G703" s="1358"/>
      <c r="H703" s="1358"/>
      <c r="I703" s="1361"/>
      <c r="J703" s="1358"/>
      <c r="K703" s="1358"/>
      <c r="L703" s="1353"/>
    </row>
    <row r="704" spans="1:12" s="1347" customFormat="1">
      <c r="A704" s="939"/>
      <c r="B704" s="939"/>
      <c r="C704" s="939"/>
      <c r="D704" s="939"/>
      <c r="E704" s="1360"/>
      <c r="F704" s="1358"/>
      <c r="G704" s="1358"/>
      <c r="H704" s="1358"/>
      <c r="I704" s="1361"/>
      <c r="J704" s="1358"/>
      <c r="K704" s="1358"/>
      <c r="L704" s="1353"/>
    </row>
    <row r="705" spans="1:12" s="1347" customFormat="1">
      <c r="A705" s="939"/>
      <c r="B705" s="939"/>
      <c r="C705" s="939"/>
      <c r="D705" s="939"/>
      <c r="E705" s="1360"/>
      <c r="F705" s="1358"/>
      <c r="G705" s="1358"/>
      <c r="H705" s="1358"/>
      <c r="I705" s="1361"/>
      <c r="J705" s="1358"/>
      <c r="K705" s="1358"/>
      <c r="L705" s="1353"/>
    </row>
    <row r="706" spans="1:12" s="1347" customFormat="1">
      <c r="A706" s="939"/>
      <c r="B706" s="939"/>
      <c r="C706" s="939"/>
      <c r="D706" s="939"/>
      <c r="E706" s="1360"/>
      <c r="F706" s="1358"/>
      <c r="G706" s="1358"/>
      <c r="H706" s="1358"/>
      <c r="I706" s="1361"/>
      <c r="J706" s="1358"/>
      <c r="K706" s="1358"/>
      <c r="L706" s="1353"/>
    </row>
    <row r="707" spans="1:12" s="1347" customFormat="1">
      <c r="A707" s="939"/>
      <c r="B707" s="939"/>
      <c r="C707" s="939"/>
      <c r="D707" s="939"/>
      <c r="E707" s="1360"/>
      <c r="F707" s="1358"/>
      <c r="G707" s="1358"/>
      <c r="H707" s="1358"/>
      <c r="I707" s="1361"/>
      <c r="J707" s="1358"/>
      <c r="K707" s="1358"/>
      <c r="L707" s="1353"/>
    </row>
    <row r="708" spans="1:12" s="1347" customFormat="1">
      <c r="A708" s="939"/>
      <c r="B708" s="939"/>
      <c r="C708" s="939"/>
      <c r="D708" s="939"/>
      <c r="E708" s="1360"/>
      <c r="F708" s="1358"/>
      <c r="G708" s="1358"/>
      <c r="H708" s="1358"/>
      <c r="I708" s="1361"/>
      <c r="J708" s="1358"/>
      <c r="K708" s="1358"/>
      <c r="L708" s="1353"/>
    </row>
    <row r="709" spans="1:12" s="1347" customFormat="1">
      <c r="A709" s="939"/>
      <c r="B709" s="939"/>
      <c r="C709" s="939"/>
      <c r="D709" s="939"/>
      <c r="E709" s="1360"/>
      <c r="F709" s="1358"/>
      <c r="G709" s="1358"/>
      <c r="H709" s="1358"/>
      <c r="I709" s="1361"/>
      <c r="J709" s="1358"/>
      <c r="K709" s="1358"/>
      <c r="L709" s="1353"/>
    </row>
    <row r="710" spans="1:12" s="1347" customFormat="1">
      <c r="A710" s="939"/>
      <c r="B710" s="939"/>
      <c r="C710" s="939"/>
      <c r="D710" s="939"/>
      <c r="E710" s="1360"/>
      <c r="F710" s="1358"/>
      <c r="G710" s="1358"/>
      <c r="H710" s="1358"/>
      <c r="I710" s="1361"/>
      <c r="J710" s="1358"/>
      <c r="K710" s="1358"/>
      <c r="L710" s="1353"/>
    </row>
    <row r="711" spans="1:12" s="1347" customFormat="1">
      <c r="A711" s="939"/>
      <c r="B711" s="939"/>
      <c r="C711" s="939"/>
      <c r="D711" s="939"/>
      <c r="E711" s="1360"/>
      <c r="F711" s="1358"/>
      <c r="G711" s="1358"/>
      <c r="H711" s="1358"/>
      <c r="I711" s="1361"/>
      <c r="J711" s="1358"/>
      <c r="K711" s="1358"/>
      <c r="L711" s="1353"/>
    </row>
    <row r="712" spans="1:12" s="1347" customFormat="1">
      <c r="A712" s="939"/>
      <c r="B712" s="939"/>
      <c r="C712" s="939"/>
      <c r="D712" s="939"/>
      <c r="E712" s="1360"/>
      <c r="F712" s="1358"/>
      <c r="G712" s="1358"/>
      <c r="H712" s="1358"/>
      <c r="I712" s="1361"/>
      <c r="J712" s="1358"/>
      <c r="K712" s="1358"/>
      <c r="L712" s="1353"/>
    </row>
    <row r="713" spans="1:12" s="1347" customFormat="1">
      <c r="A713" s="939"/>
      <c r="B713" s="939"/>
      <c r="C713" s="939"/>
      <c r="D713" s="939"/>
      <c r="E713" s="1360"/>
      <c r="F713" s="1358"/>
      <c r="G713" s="1358"/>
      <c r="H713" s="1358"/>
      <c r="I713" s="1361"/>
      <c r="J713" s="1358"/>
      <c r="K713" s="1358"/>
      <c r="L713" s="1353"/>
    </row>
    <row r="714" spans="1:12" s="1347" customFormat="1">
      <c r="A714" s="939"/>
      <c r="B714" s="939"/>
      <c r="C714" s="939"/>
      <c r="D714" s="939"/>
      <c r="E714" s="1360"/>
      <c r="F714" s="1358"/>
      <c r="G714" s="1358"/>
      <c r="H714" s="1358"/>
      <c r="I714" s="1361"/>
      <c r="J714" s="1358"/>
      <c r="K714" s="1358"/>
      <c r="L714" s="1353"/>
    </row>
    <row r="715" spans="1:12" s="1347" customFormat="1">
      <c r="A715" s="939"/>
      <c r="B715" s="939"/>
      <c r="C715" s="939"/>
      <c r="D715" s="939"/>
      <c r="E715" s="1360"/>
      <c r="F715" s="1358"/>
      <c r="G715" s="1358"/>
      <c r="H715" s="1358"/>
      <c r="I715" s="1361"/>
      <c r="J715" s="1358"/>
      <c r="K715" s="1358"/>
      <c r="L715" s="1353"/>
    </row>
    <row r="716" spans="1:12" s="1347" customFormat="1">
      <c r="A716" s="939"/>
      <c r="B716" s="939"/>
      <c r="C716" s="939"/>
      <c r="D716" s="939"/>
      <c r="E716" s="1360"/>
      <c r="F716" s="1358"/>
      <c r="G716" s="1358"/>
      <c r="H716" s="1358"/>
      <c r="I716" s="1361"/>
      <c r="J716" s="1358"/>
      <c r="K716" s="1358"/>
      <c r="L716" s="1353"/>
    </row>
    <row r="717" spans="1:12" s="1347" customFormat="1">
      <c r="A717" s="939"/>
      <c r="B717" s="939"/>
      <c r="C717" s="939"/>
      <c r="D717" s="939"/>
      <c r="E717" s="1360"/>
      <c r="F717" s="1358"/>
      <c r="G717" s="1358"/>
      <c r="H717" s="1358"/>
      <c r="I717" s="1361"/>
      <c r="J717" s="1358"/>
      <c r="K717" s="1358"/>
      <c r="L717" s="1353"/>
    </row>
    <row r="718" spans="1:12" s="1347" customFormat="1">
      <c r="A718" s="939"/>
      <c r="B718" s="939"/>
      <c r="C718" s="939"/>
      <c r="D718" s="939"/>
      <c r="E718" s="1360"/>
      <c r="F718" s="1358"/>
      <c r="G718" s="1358"/>
      <c r="H718" s="1358"/>
      <c r="I718" s="1361"/>
      <c r="J718" s="1358"/>
      <c r="K718" s="1358"/>
      <c r="L718" s="1353"/>
    </row>
    <row r="719" spans="1:12" s="1347" customFormat="1">
      <c r="A719" s="939"/>
      <c r="B719" s="939"/>
      <c r="C719" s="939"/>
      <c r="D719" s="939"/>
      <c r="E719" s="1360"/>
      <c r="F719" s="1358"/>
      <c r="G719" s="1358"/>
      <c r="H719" s="1358"/>
      <c r="I719" s="1361"/>
      <c r="J719" s="1358"/>
      <c r="K719" s="1358"/>
      <c r="L719" s="1353"/>
    </row>
    <row r="720" spans="1:12" s="1347" customFormat="1">
      <c r="A720" s="939"/>
      <c r="B720" s="939"/>
      <c r="C720" s="939"/>
      <c r="D720" s="939"/>
      <c r="E720" s="1360"/>
      <c r="F720" s="1358"/>
      <c r="G720" s="1358"/>
      <c r="H720" s="1358"/>
      <c r="I720" s="1361"/>
      <c r="J720" s="1358"/>
      <c r="K720" s="1358"/>
      <c r="L720" s="1353"/>
    </row>
    <row r="721" spans="1:12" s="1347" customFormat="1">
      <c r="A721" s="939"/>
      <c r="B721" s="939"/>
      <c r="C721" s="939"/>
      <c r="D721" s="939"/>
      <c r="E721" s="1360"/>
      <c r="F721" s="1358"/>
      <c r="G721" s="1358"/>
      <c r="H721" s="1358"/>
      <c r="I721" s="1361"/>
      <c r="J721" s="1358"/>
      <c r="K721" s="1358"/>
      <c r="L721" s="1353"/>
    </row>
    <row r="722" spans="1:12" s="1347" customFormat="1">
      <c r="A722" s="939"/>
      <c r="B722" s="939"/>
      <c r="C722" s="939"/>
      <c r="D722" s="939"/>
      <c r="E722" s="1360"/>
      <c r="F722" s="1358"/>
      <c r="G722" s="1358"/>
      <c r="H722" s="1358"/>
      <c r="I722" s="1361"/>
      <c r="J722" s="1358"/>
      <c r="K722" s="1358"/>
      <c r="L722" s="1353"/>
    </row>
    <row r="723" spans="1:12" s="1347" customFormat="1">
      <c r="A723" s="939"/>
      <c r="B723" s="939"/>
      <c r="C723" s="939"/>
      <c r="D723" s="939"/>
      <c r="E723" s="1360"/>
      <c r="F723" s="1358"/>
      <c r="G723" s="1358"/>
      <c r="H723" s="1358"/>
      <c r="I723" s="1361"/>
      <c r="J723" s="1358"/>
      <c r="K723" s="1358"/>
      <c r="L723" s="1353"/>
    </row>
    <row r="724" spans="1:12" s="1347" customFormat="1">
      <c r="A724" s="939"/>
      <c r="B724" s="939"/>
      <c r="C724" s="939"/>
      <c r="D724" s="939"/>
      <c r="E724" s="1360"/>
      <c r="F724" s="1358"/>
      <c r="G724" s="1358"/>
      <c r="H724" s="1358"/>
      <c r="I724" s="1361"/>
      <c r="J724" s="1358"/>
      <c r="K724" s="1358"/>
      <c r="L724" s="1353"/>
    </row>
    <row r="725" spans="1:12" s="1347" customFormat="1">
      <c r="A725" s="939"/>
      <c r="B725" s="939"/>
      <c r="C725" s="939"/>
      <c r="D725" s="939"/>
      <c r="E725" s="1360"/>
      <c r="F725" s="1358"/>
      <c r="G725" s="1358"/>
      <c r="H725" s="1358"/>
      <c r="I725" s="1361"/>
      <c r="J725" s="1358"/>
      <c r="K725" s="1358"/>
      <c r="L725" s="1353"/>
    </row>
    <row r="726" spans="1:12" s="1347" customFormat="1">
      <c r="A726" s="939"/>
      <c r="B726" s="939"/>
      <c r="C726" s="939"/>
      <c r="D726" s="939"/>
      <c r="E726" s="1360"/>
      <c r="F726" s="1358"/>
      <c r="G726" s="1358"/>
      <c r="H726" s="1358"/>
      <c r="I726" s="1361"/>
      <c r="J726" s="1358"/>
      <c r="K726" s="1358"/>
      <c r="L726" s="1353"/>
    </row>
    <row r="727" spans="1:12" s="1347" customFormat="1">
      <c r="A727" s="939"/>
      <c r="B727" s="939"/>
      <c r="C727" s="939"/>
      <c r="D727" s="939"/>
      <c r="E727" s="1360"/>
      <c r="F727" s="1358"/>
      <c r="G727" s="1358"/>
      <c r="H727" s="1358"/>
      <c r="I727" s="1361"/>
      <c r="J727" s="1358"/>
      <c r="K727" s="1358"/>
      <c r="L727" s="1353"/>
    </row>
    <row r="728" spans="1:12" s="1347" customFormat="1">
      <c r="A728" s="939"/>
      <c r="B728" s="939"/>
      <c r="C728" s="939"/>
      <c r="D728" s="939"/>
      <c r="E728" s="1360"/>
      <c r="F728" s="1358"/>
      <c r="G728" s="1358"/>
      <c r="H728" s="1358"/>
      <c r="I728" s="1361"/>
      <c r="J728" s="1358"/>
      <c r="K728" s="1358"/>
      <c r="L728" s="1353"/>
    </row>
    <row r="729" spans="1:12" s="1347" customFormat="1">
      <c r="A729" s="939"/>
      <c r="B729" s="939"/>
      <c r="C729" s="939"/>
      <c r="D729" s="939"/>
      <c r="E729" s="1360"/>
      <c r="F729" s="1358"/>
      <c r="G729" s="1358"/>
      <c r="H729" s="1358"/>
      <c r="I729" s="1361"/>
      <c r="J729" s="1358"/>
      <c r="K729" s="1358"/>
      <c r="L729" s="1353"/>
    </row>
    <row r="730" spans="1:12" s="1347" customFormat="1">
      <c r="A730" s="939"/>
      <c r="B730" s="939"/>
      <c r="C730" s="939"/>
      <c r="D730" s="939"/>
      <c r="E730" s="1360"/>
      <c r="F730" s="1358"/>
      <c r="G730" s="1358"/>
      <c r="H730" s="1358"/>
      <c r="I730" s="1361"/>
      <c r="J730" s="1358"/>
      <c r="K730" s="1358"/>
      <c r="L730" s="1353"/>
    </row>
    <row r="731" spans="1:12" s="1347" customFormat="1">
      <c r="A731" s="939"/>
      <c r="B731" s="939"/>
      <c r="C731" s="939"/>
      <c r="D731" s="939"/>
      <c r="E731" s="1360"/>
      <c r="F731" s="1358"/>
      <c r="G731" s="1358"/>
      <c r="H731" s="1358"/>
      <c r="I731" s="1361"/>
      <c r="J731" s="1358"/>
      <c r="K731" s="1358"/>
      <c r="L731" s="1353"/>
    </row>
    <row r="732" spans="1:12" s="1347" customFormat="1">
      <c r="A732" s="939"/>
      <c r="B732" s="939"/>
      <c r="C732" s="939"/>
      <c r="D732" s="939"/>
      <c r="E732" s="1360"/>
      <c r="F732" s="1358"/>
      <c r="G732" s="1358"/>
      <c r="H732" s="1358"/>
      <c r="I732" s="1361"/>
      <c r="J732" s="1358"/>
      <c r="K732" s="1358"/>
      <c r="L732" s="1353"/>
    </row>
    <row r="733" spans="1:12" s="1347" customFormat="1">
      <c r="A733" s="939"/>
      <c r="B733" s="939"/>
      <c r="C733" s="939"/>
      <c r="D733" s="939"/>
      <c r="E733" s="1360"/>
      <c r="F733" s="1358"/>
      <c r="G733" s="1358"/>
      <c r="H733" s="1358"/>
      <c r="I733" s="1361"/>
      <c r="J733" s="1358"/>
      <c r="K733" s="1358"/>
      <c r="L733" s="1353"/>
    </row>
    <row r="734" spans="1:12" s="1347" customFormat="1">
      <c r="A734" s="939"/>
      <c r="B734" s="939"/>
      <c r="C734" s="939"/>
      <c r="D734" s="939"/>
      <c r="E734" s="1360"/>
      <c r="F734" s="1358"/>
      <c r="G734" s="1358"/>
      <c r="H734" s="1358"/>
      <c r="I734" s="1361"/>
      <c r="J734" s="1358"/>
      <c r="K734" s="1358"/>
      <c r="L734" s="1353"/>
    </row>
    <row r="735" spans="1:12" s="1347" customFormat="1">
      <c r="A735" s="939"/>
      <c r="B735" s="939"/>
      <c r="C735" s="939"/>
      <c r="D735" s="939"/>
      <c r="E735" s="1360"/>
      <c r="F735" s="1358"/>
      <c r="G735" s="1358"/>
      <c r="H735" s="1358"/>
      <c r="I735" s="1361"/>
      <c r="J735" s="1358"/>
      <c r="K735" s="1358"/>
      <c r="L735" s="1353"/>
    </row>
    <row r="736" spans="1:12" s="1347" customFormat="1">
      <c r="A736" s="939"/>
      <c r="B736" s="939"/>
      <c r="C736" s="939"/>
      <c r="D736" s="939"/>
      <c r="E736" s="1360"/>
      <c r="F736" s="1358"/>
      <c r="G736" s="1358"/>
      <c r="H736" s="1358"/>
      <c r="I736" s="1361"/>
      <c r="J736" s="1358"/>
      <c r="K736" s="1358"/>
      <c r="L736" s="1353"/>
    </row>
    <row r="737" spans="1:12" s="1347" customFormat="1">
      <c r="A737" s="939"/>
      <c r="B737" s="939"/>
      <c r="C737" s="939"/>
      <c r="D737" s="939"/>
      <c r="E737" s="1360"/>
      <c r="F737" s="1358"/>
      <c r="G737" s="1358"/>
      <c r="H737" s="1358"/>
      <c r="I737" s="1361"/>
      <c r="J737" s="1358"/>
      <c r="K737" s="1358"/>
      <c r="L737" s="1353"/>
    </row>
    <row r="738" spans="1:12" s="1347" customFormat="1">
      <c r="A738" s="939"/>
      <c r="B738" s="939"/>
      <c r="C738" s="939"/>
      <c r="D738" s="939"/>
      <c r="E738" s="1360"/>
      <c r="F738" s="1358"/>
      <c r="G738" s="1358"/>
      <c r="H738" s="1358"/>
      <c r="I738" s="1361"/>
      <c r="J738" s="1358"/>
      <c r="K738" s="1358"/>
      <c r="L738" s="1353"/>
    </row>
    <row r="739" spans="1:12" s="1347" customFormat="1">
      <c r="A739" s="939"/>
      <c r="B739" s="939"/>
      <c r="C739" s="939"/>
      <c r="D739" s="939"/>
      <c r="E739" s="1360"/>
      <c r="F739" s="1358"/>
      <c r="G739" s="1358"/>
      <c r="H739" s="1358"/>
      <c r="I739" s="1361"/>
      <c r="J739" s="1358"/>
      <c r="K739" s="1358"/>
      <c r="L739" s="1353"/>
    </row>
    <row r="740" spans="1:12" s="1347" customFormat="1">
      <c r="A740" s="939"/>
      <c r="B740" s="939"/>
      <c r="C740" s="939"/>
      <c r="D740" s="939"/>
      <c r="E740" s="1360"/>
      <c r="F740" s="1358"/>
      <c r="G740" s="1358"/>
      <c r="H740" s="1358"/>
      <c r="I740" s="1361"/>
      <c r="J740" s="1358"/>
      <c r="K740" s="1358"/>
      <c r="L740" s="1353"/>
    </row>
    <row r="741" spans="1:12" s="1347" customFormat="1">
      <c r="A741" s="939"/>
      <c r="B741" s="939"/>
      <c r="C741" s="939"/>
      <c r="D741" s="939"/>
      <c r="E741" s="1360"/>
      <c r="F741" s="1358"/>
      <c r="G741" s="1358"/>
      <c r="H741" s="1358"/>
      <c r="I741" s="1361"/>
      <c r="J741" s="1358"/>
      <c r="K741" s="1358"/>
      <c r="L741" s="1353"/>
    </row>
    <row r="742" spans="1:12" s="1347" customFormat="1">
      <c r="A742" s="939"/>
      <c r="B742" s="939"/>
      <c r="C742" s="939"/>
      <c r="D742" s="939"/>
      <c r="E742" s="1360"/>
      <c r="F742" s="1358"/>
      <c r="G742" s="1358"/>
      <c r="H742" s="1358"/>
      <c r="I742" s="1361"/>
      <c r="J742" s="1358"/>
      <c r="K742" s="1358"/>
      <c r="L742" s="1353"/>
    </row>
    <row r="743" spans="1:12" s="1347" customFormat="1">
      <c r="A743" s="939"/>
      <c r="B743" s="939"/>
      <c r="C743" s="939"/>
      <c r="D743" s="939"/>
      <c r="E743" s="1360"/>
      <c r="F743" s="1358"/>
      <c r="G743" s="1358"/>
      <c r="H743" s="1358"/>
      <c r="I743" s="1361"/>
      <c r="J743" s="1358"/>
      <c r="K743" s="1358"/>
      <c r="L743" s="1353"/>
    </row>
    <row r="744" spans="1:12" s="1347" customFormat="1">
      <c r="A744" s="939"/>
      <c r="B744" s="939"/>
      <c r="C744" s="939"/>
      <c r="D744" s="939"/>
      <c r="E744" s="1360"/>
      <c r="F744" s="1358"/>
      <c r="G744" s="1358"/>
      <c r="H744" s="1358"/>
      <c r="I744" s="1361"/>
      <c r="J744" s="1358"/>
      <c r="K744" s="1358"/>
      <c r="L744" s="1353"/>
    </row>
    <row r="745" spans="1:12" s="1347" customFormat="1">
      <c r="A745" s="939"/>
      <c r="B745" s="939"/>
      <c r="C745" s="939"/>
      <c r="D745" s="939"/>
      <c r="E745" s="1360"/>
      <c r="F745" s="1358"/>
      <c r="G745" s="1358"/>
      <c r="H745" s="1358"/>
      <c r="I745" s="1361"/>
      <c r="J745" s="1358"/>
      <c r="K745" s="1358"/>
      <c r="L745" s="1353"/>
    </row>
    <row r="746" spans="1:12" s="1347" customFormat="1">
      <c r="A746" s="939"/>
      <c r="B746" s="939"/>
      <c r="C746" s="939"/>
      <c r="D746" s="939"/>
      <c r="E746" s="1360"/>
      <c r="F746" s="1358"/>
      <c r="G746" s="1358"/>
      <c r="H746" s="1358"/>
      <c r="I746" s="1361"/>
      <c r="J746" s="1358"/>
      <c r="K746" s="1358"/>
      <c r="L746" s="1353"/>
    </row>
    <row r="747" spans="1:12" s="1347" customFormat="1">
      <c r="A747" s="939"/>
      <c r="B747" s="939"/>
      <c r="C747" s="939"/>
      <c r="D747" s="939"/>
      <c r="E747" s="1360"/>
      <c r="F747" s="1358"/>
      <c r="G747" s="1358"/>
      <c r="H747" s="1358"/>
      <c r="I747" s="1361"/>
      <c r="J747" s="1358"/>
      <c r="K747" s="1358"/>
      <c r="L747" s="1353"/>
    </row>
    <row r="748" spans="1:12" s="1347" customFormat="1">
      <c r="A748" s="939"/>
      <c r="B748" s="939"/>
      <c r="C748" s="939"/>
      <c r="D748" s="939"/>
      <c r="E748" s="1360"/>
      <c r="F748" s="1358"/>
      <c r="G748" s="1358"/>
      <c r="H748" s="1358"/>
      <c r="I748" s="1361"/>
      <c r="J748" s="1358"/>
      <c r="K748" s="1358"/>
      <c r="L748" s="1353"/>
    </row>
    <row r="749" spans="1:12" s="1347" customFormat="1">
      <c r="A749" s="939"/>
      <c r="B749" s="939"/>
      <c r="C749" s="939"/>
      <c r="D749" s="939"/>
      <c r="E749" s="1360"/>
      <c r="F749" s="1358"/>
      <c r="G749" s="1358"/>
      <c r="H749" s="1358"/>
      <c r="I749" s="1361"/>
      <c r="J749" s="1358"/>
      <c r="K749" s="1358"/>
      <c r="L749" s="1353"/>
    </row>
    <row r="750" spans="1:12" s="1347" customFormat="1">
      <c r="A750" s="939"/>
      <c r="B750" s="939"/>
      <c r="C750" s="939"/>
      <c r="D750" s="939"/>
      <c r="E750" s="1360"/>
      <c r="F750" s="1358"/>
      <c r="G750" s="1358"/>
      <c r="H750" s="1358"/>
      <c r="I750" s="1361"/>
      <c r="J750" s="1358"/>
      <c r="K750" s="1358"/>
      <c r="L750" s="1353"/>
    </row>
    <row r="751" spans="1:12" s="1347" customFormat="1">
      <c r="A751" s="939"/>
      <c r="B751" s="939"/>
      <c r="C751" s="939"/>
      <c r="D751" s="939"/>
      <c r="E751" s="1360"/>
      <c r="F751" s="1358"/>
      <c r="G751" s="1358"/>
      <c r="H751" s="1358"/>
      <c r="I751" s="1361"/>
      <c r="J751" s="1358"/>
      <c r="K751" s="1358"/>
      <c r="L751" s="1353"/>
    </row>
    <row r="752" spans="1:12" s="1347" customFormat="1">
      <c r="A752" s="939"/>
      <c r="B752" s="939"/>
      <c r="C752" s="939"/>
      <c r="D752" s="939"/>
      <c r="E752" s="1360"/>
      <c r="F752" s="1358"/>
      <c r="G752" s="1358"/>
      <c r="H752" s="1358"/>
      <c r="I752" s="1361"/>
      <c r="J752" s="1358"/>
      <c r="K752" s="1358"/>
      <c r="L752" s="1353"/>
    </row>
    <row r="753" spans="1:12" s="1347" customFormat="1">
      <c r="A753" s="939"/>
      <c r="B753" s="939"/>
      <c r="C753" s="939"/>
      <c r="D753" s="939"/>
      <c r="E753" s="1360"/>
      <c r="F753" s="1358"/>
      <c r="G753" s="1358"/>
      <c r="H753" s="1358"/>
      <c r="I753" s="1361"/>
      <c r="J753" s="1358"/>
      <c r="K753" s="1358"/>
      <c r="L753" s="1353"/>
    </row>
    <row r="754" spans="1:12" s="1347" customFormat="1">
      <c r="A754" s="939"/>
      <c r="B754" s="939"/>
      <c r="C754" s="939"/>
      <c r="D754" s="939"/>
      <c r="E754" s="1360"/>
      <c r="F754" s="1358"/>
      <c r="G754" s="1358"/>
      <c r="H754" s="1358"/>
      <c r="I754" s="1361"/>
      <c r="J754" s="1358"/>
      <c r="K754" s="1358"/>
      <c r="L754" s="1353"/>
    </row>
    <row r="755" spans="1:12" s="1347" customFormat="1">
      <c r="A755" s="939"/>
      <c r="B755" s="939"/>
      <c r="C755" s="939"/>
      <c r="D755" s="939"/>
      <c r="E755" s="1360"/>
      <c r="F755" s="1358"/>
      <c r="G755" s="1358"/>
      <c r="H755" s="1358"/>
      <c r="I755" s="1361"/>
      <c r="J755" s="1358"/>
      <c r="K755" s="1358"/>
      <c r="L755" s="1353"/>
    </row>
    <row r="756" spans="1:12" s="1347" customFormat="1">
      <c r="A756" s="939"/>
      <c r="B756" s="939"/>
      <c r="C756" s="939"/>
      <c r="D756" s="939"/>
      <c r="E756" s="1360"/>
      <c r="F756" s="1358"/>
      <c r="G756" s="1358"/>
      <c r="H756" s="1358"/>
      <c r="I756" s="1361"/>
      <c r="J756" s="1358"/>
      <c r="K756" s="1358"/>
      <c r="L756" s="1353"/>
    </row>
    <row r="757" spans="1:12" s="1347" customFormat="1">
      <c r="A757" s="939"/>
      <c r="B757" s="939"/>
      <c r="C757" s="939"/>
      <c r="D757" s="939"/>
      <c r="E757" s="1360"/>
      <c r="F757" s="1358"/>
      <c r="G757" s="1358"/>
      <c r="H757" s="1358"/>
      <c r="I757" s="1361"/>
      <c r="J757" s="1358"/>
      <c r="K757" s="1358"/>
      <c r="L757" s="1353"/>
    </row>
    <row r="758" spans="1:12" s="1347" customFormat="1">
      <c r="A758" s="939"/>
      <c r="B758" s="939"/>
      <c r="C758" s="939"/>
      <c r="D758" s="939"/>
      <c r="E758" s="1360"/>
      <c r="F758" s="1358"/>
      <c r="G758" s="1358"/>
      <c r="H758" s="1358"/>
      <c r="I758" s="1361"/>
      <c r="J758" s="1358"/>
      <c r="K758" s="1358"/>
      <c r="L758" s="1353"/>
    </row>
    <row r="759" spans="1:12" s="1347" customFormat="1">
      <c r="A759" s="939"/>
      <c r="B759" s="939"/>
      <c r="C759" s="939"/>
      <c r="D759" s="939"/>
      <c r="E759" s="1360"/>
      <c r="F759" s="1358"/>
      <c r="G759" s="1358"/>
      <c r="H759" s="1358"/>
      <c r="I759" s="1361"/>
      <c r="J759" s="1358"/>
      <c r="K759" s="1358"/>
      <c r="L759" s="1353"/>
    </row>
    <row r="760" spans="1:12" s="1347" customFormat="1">
      <c r="A760" s="939"/>
      <c r="B760" s="939"/>
      <c r="C760" s="939"/>
      <c r="D760" s="939"/>
      <c r="E760" s="1360"/>
      <c r="F760" s="1358"/>
      <c r="G760" s="1358"/>
      <c r="H760" s="1358"/>
      <c r="I760" s="1361"/>
      <c r="J760" s="1358"/>
      <c r="K760" s="1358"/>
      <c r="L760" s="1353"/>
    </row>
    <row r="761" spans="1:12" s="1347" customFormat="1">
      <c r="A761" s="939"/>
      <c r="B761" s="939"/>
      <c r="C761" s="939"/>
      <c r="D761" s="939"/>
      <c r="E761" s="1360"/>
      <c r="F761" s="1358"/>
      <c r="G761" s="1358"/>
      <c r="H761" s="1358"/>
      <c r="I761" s="1361"/>
      <c r="J761" s="1358"/>
      <c r="K761" s="1358"/>
      <c r="L761" s="1353"/>
    </row>
    <row r="762" spans="1:12" s="1347" customFormat="1">
      <c r="A762" s="939"/>
      <c r="B762" s="939"/>
      <c r="C762" s="939"/>
      <c r="D762" s="939"/>
      <c r="E762" s="1360"/>
      <c r="F762" s="1358"/>
      <c r="G762" s="1358"/>
      <c r="H762" s="1358"/>
      <c r="I762" s="1361"/>
      <c r="J762" s="1358"/>
      <c r="K762" s="1358"/>
      <c r="L762" s="1353"/>
    </row>
    <row r="763" spans="1:12" s="1347" customFormat="1">
      <c r="A763" s="939"/>
      <c r="B763" s="939"/>
      <c r="C763" s="939"/>
      <c r="D763" s="939"/>
      <c r="E763" s="1360"/>
      <c r="F763" s="1358"/>
      <c r="G763" s="1358"/>
      <c r="H763" s="1358"/>
      <c r="I763" s="1361"/>
      <c r="J763" s="1358"/>
      <c r="K763" s="1358"/>
      <c r="L763" s="1353"/>
    </row>
    <row r="764" spans="1:12" s="1347" customFormat="1">
      <c r="A764" s="939"/>
      <c r="B764" s="939"/>
      <c r="C764" s="939"/>
      <c r="D764" s="939"/>
      <c r="E764" s="1360"/>
      <c r="F764" s="1358"/>
      <c r="G764" s="1358"/>
      <c r="H764" s="1358"/>
      <c r="I764" s="1361"/>
      <c r="J764" s="1358"/>
      <c r="K764" s="1358"/>
      <c r="L764" s="1353"/>
    </row>
    <row r="765" spans="1:12" s="1347" customFormat="1">
      <c r="A765" s="939"/>
      <c r="B765" s="939"/>
      <c r="C765" s="939"/>
      <c r="D765" s="939"/>
      <c r="E765" s="1360"/>
      <c r="F765" s="1358"/>
      <c r="G765" s="1358"/>
      <c r="H765" s="1358"/>
      <c r="I765" s="1361"/>
      <c r="J765" s="1358"/>
      <c r="K765" s="1358"/>
      <c r="L765" s="1353"/>
    </row>
    <row r="766" spans="1:12" s="1347" customFormat="1">
      <c r="A766" s="939"/>
      <c r="B766" s="939"/>
      <c r="C766" s="939"/>
      <c r="D766" s="939"/>
      <c r="E766" s="1360"/>
      <c r="F766" s="1358"/>
      <c r="G766" s="1358"/>
      <c r="H766" s="1358"/>
      <c r="I766" s="1361"/>
      <c r="J766" s="1358"/>
      <c r="K766" s="1358"/>
      <c r="L766" s="1353"/>
    </row>
    <row r="767" spans="1:12" s="1347" customFormat="1">
      <c r="A767" s="939"/>
      <c r="B767" s="939"/>
      <c r="C767" s="939"/>
      <c r="D767" s="939"/>
      <c r="E767" s="1360"/>
      <c r="F767" s="1358"/>
      <c r="G767" s="1358"/>
      <c r="H767" s="1358"/>
      <c r="I767" s="1361"/>
      <c r="J767" s="1358"/>
      <c r="K767" s="1358"/>
      <c r="L767" s="1353"/>
    </row>
    <row r="768" spans="1:12" s="1347" customFormat="1">
      <c r="A768" s="939"/>
      <c r="B768" s="939"/>
      <c r="C768" s="939"/>
      <c r="D768" s="939"/>
      <c r="E768" s="1360"/>
      <c r="F768" s="1358"/>
      <c r="G768" s="1358"/>
      <c r="H768" s="1358"/>
      <c r="I768" s="1361"/>
      <c r="J768" s="1358"/>
      <c r="K768" s="1358"/>
      <c r="L768" s="1353"/>
    </row>
    <row r="769" spans="1:12" s="1347" customFormat="1">
      <c r="A769" s="939"/>
      <c r="B769" s="939"/>
      <c r="C769" s="939"/>
      <c r="D769" s="939"/>
      <c r="E769" s="1360"/>
      <c r="F769" s="1358"/>
      <c r="G769" s="1358"/>
      <c r="H769" s="1358"/>
      <c r="I769" s="1361"/>
      <c r="J769" s="1358"/>
      <c r="K769" s="1358"/>
      <c r="L769" s="1353"/>
    </row>
    <row r="770" spans="1:12" s="1347" customFormat="1">
      <c r="A770" s="939"/>
      <c r="B770" s="939"/>
      <c r="C770" s="939"/>
      <c r="D770" s="939"/>
      <c r="E770" s="1360"/>
      <c r="F770" s="1358"/>
      <c r="G770" s="1358"/>
      <c r="H770" s="1358"/>
      <c r="I770" s="1361"/>
      <c r="J770" s="1358"/>
      <c r="K770" s="1358"/>
      <c r="L770" s="1353"/>
    </row>
    <row r="771" spans="1:12" s="1347" customFormat="1">
      <c r="A771" s="939"/>
      <c r="B771" s="939"/>
      <c r="C771" s="939"/>
      <c r="D771" s="939"/>
      <c r="E771" s="1360"/>
      <c r="F771" s="1358"/>
      <c r="G771" s="1358"/>
      <c r="H771" s="1358"/>
      <c r="I771" s="1361"/>
      <c r="J771" s="1358"/>
      <c r="K771" s="1358"/>
      <c r="L771" s="1353"/>
    </row>
    <row r="772" spans="1:12" s="1347" customFormat="1">
      <c r="A772" s="939"/>
      <c r="B772" s="939"/>
      <c r="C772" s="939"/>
      <c r="D772" s="939"/>
      <c r="E772" s="1360"/>
      <c r="F772" s="1358"/>
      <c r="G772" s="1358"/>
      <c r="H772" s="1358"/>
      <c r="I772" s="1361"/>
      <c r="J772" s="1358"/>
      <c r="K772" s="1358"/>
      <c r="L772" s="1353"/>
    </row>
    <row r="773" spans="1:12" s="1347" customFormat="1">
      <c r="A773" s="939"/>
      <c r="B773" s="939"/>
      <c r="C773" s="939"/>
      <c r="D773" s="939"/>
      <c r="E773" s="1360"/>
      <c r="F773" s="1358"/>
      <c r="G773" s="1358"/>
      <c r="H773" s="1358"/>
      <c r="I773" s="1361"/>
      <c r="J773" s="1358"/>
      <c r="K773" s="1358"/>
      <c r="L773" s="1353"/>
    </row>
    <row r="774" spans="1:12" s="1347" customFormat="1">
      <c r="A774" s="939"/>
      <c r="B774" s="939"/>
      <c r="C774" s="939"/>
      <c r="D774" s="939"/>
      <c r="E774" s="1360"/>
      <c r="F774" s="1358"/>
      <c r="G774" s="1358"/>
      <c r="H774" s="1358"/>
      <c r="I774" s="1361"/>
      <c r="J774" s="1358"/>
      <c r="K774" s="1358"/>
      <c r="L774" s="1353"/>
    </row>
    <row r="775" spans="1:12" s="1347" customFormat="1">
      <c r="A775" s="939"/>
      <c r="B775" s="939"/>
      <c r="C775" s="939"/>
      <c r="D775" s="939"/>
      <c r="E775" s="1360"/>
      <c r="F775" s="1358"/>
      <c r="G775" s="1358"/>
      <c r="H775" s="1358"/>
      <c r="I775" s="1361"/>
      <c r="J775" s="1358"/>
      <c r="K775" s="1358"/>
      <c r="L775" s="1353"/>
    </row>
    <row r="776" spans="1:12" s="1347" customFormat="1">
      <c r="A776" s="939"/>
      <c r="B776" s="939"/>
      <c r="C776" s="939"/>
      <c r="D776" s="939"/>
      <c r="E776" s="1360"/>
      <c r="F776" s="1358"/>
      <c r="G776" s="1358"/>
      <c r="H776" s="1358"/>
      <c r="I776" s="1361"/>
      <c r="J776" s="1358"/>
      <c r="K776" s="1358"/>
      <c r="L776" s="1353"/>
    </row>
    <row r="777" spans="1:12" s="1347" customFormat="1">
      <c r="A777" s="939"/>
      <c r="B777" s="939"/>
      <c r="C777" s="939"/>
      <c r="D777" s="939"/>
      <c r="E777" s="1360"/>
      <c r="F777" s="1358"/>
      <c r="G777" s="1358"/>
      <c r="H777" s="1358"/>
      <c r="I777" s="1361"/>
      <c r="J777" s="1358"/>
      <c r="K777" s="1358"/>
      <c r="L777" s="1353"/>
    </row>
    <row r="778" spans="1:12" s="1347" customFormat="1">
      <c r="A778" s="939"/>
      <c r="B778" s="939"/>
      <c r="C778" s="939"/>
      <c r="D778" s="939"/>
      <c r="E778" s="1360"/>
      <c r="F778" s="1358"/>
      <c r="G778" s="1358"/>
      <c r="H778" s="1358"/>
      <c r="I778" s="1361"/>
      <c r="J778" s="1358"/>
      <c r="K778" s="1358"/>
      <c r="L778" s="1353"/>
    </row>
    <row r="779" spans="1:12" s="1347" customFormat="1">
      <c r="A779" s="939"/>
      <c r="B779" s="939"/>
      <c r="C779" s="939"/>
      <c r="D779" s="939"/>
      <c r="E779" s="1360"/>
      <c r="F779" s="1358"/>
      <c r="G779" s="1358"/>
      <c r="H779" s="1358"/>
      <c r="I779" s="1361"/>
      <c r="J779" s="1358"/>
      <c r="K779" s="1358"/>
      <c r="L779" s="1353"/>
    </row>
    <row r="780" spans="1:12" s="1347" customFormat="1">
      <c r="A780" s="939"/>
      <c r="B780" s="939"/>
      <c r="C780" s="939"/>
      <c r="D780" s="939"/>
      <c r="E780" s="1360"/>
      <c r="F780" s="1358"/>
      <c r="G780" s="1358"/>
      <c r="H780" s="1358"/>
      <c r="I780" s="1361"/>
      <c r="J780" s="1358"/>
      <c r="K780" s="1358"/>
      <c r="L780" s="1353"/>
    </row>
    <row r="781" spans="1:12" s="1347" customFormat="1">
      <c r="A781" s="939"/>
      <c r="B781" s="939"/>
      <c r="C781" s="939"/>
      <c r="D781" s="939"/>
      <c r="E781" s="1360"/>
      <c r="F781" s="1358"/>
      <c r="G781" s="1358"/>
      <c r="H781" s="1358"/>
      <c r="I781" s="1361"/>
      <c r="J781" s="1358"/>
      <c r="K781" s="1358"/>
      <c r="L781" s="1353"/>
    </row>
    <row r="782" spans="1:12" s="1347" customFormat="1">
      <c r="A782" s="939"/>
      <c r="B782" s="939"/>
      <c r="C782" s="939"/>
      <c r="D782" s="939"/>
      <c r="E782" s="1360"/>
      <c r="F782" s="1358"/>
      <c r="G782" s="1358"/>
      <c r="H782" s="1358"/>
      <c r="I782" s="1361"/>
      <c r="J782" s="1358"/>
      <c r="K782" s="1358"/>
      <c r="L782" s="1353"/>
    </row>
    <row r="783" spans="1:12" s="1347" customFormat="1">
      <c r="A783" s="939"/>
      <c r="B783" s="939"/>
      <c r="C783" s="939"/>
      <c r="D783" s="939"/>
      <c r="E783" s="1360"/>
      <c r="F783" s="1358"/>
      <c r="G783" s="1358"/>
      <c r="H783" s="1358"/>
      <c r="I783" s="1361"/>
      <c r="J783" s="1358"/>
      <c r="K783" s="1358"/>
      <c r="L783" s="1353"/>
    </row>
    <row r="784" spans="1:12" s="1347" customFormat="1">
      <c r="A784" s="939"/>
      <c r="B784" s="939"/>
      <c r="C784" s="939"/>
      <c r="D784" s="939"/>
      <c r="E784" s="1360"/>
      <c r="F784" s="1358"/>
      <c r="G784" s="1358"/>
      <c r="H784" s="1358"/>
      <c r="I784" s="1361"/>
      <c r="J784" s="1358"/>
      <c r="K784" s="1358"/>
      <c r="L784" s="1353"/>
    </row>
    <row r="785" spans="1:12" s="1347" customFormat="1">
      <c r="A785" s="939"/>
      <c r="B785" s="939"/>
      <c r="C785" s="939"/>
      <c r="D785" s="939"/>
      <c r="E785" s="1360"/>
      <c r="F785" s="1358"/>
      <c r="G785" s="1358"/>
      <c r="H785" s="1358"/>
      <c r="I785" s="1361"/>
      <c r="J785" s="1358"/>
      <c r="K785" s="1358"/>
      <c r="L785" s="1353"/>
    </row>
    <row r="786" spans="1:12" s="1347" customFormat="1">
      <c r="A786" s="939"/>
      <c r="B786" s="939"/>
      <c r="C786" s="939"/>
      <c r="D786" s="939"/>
      <c r="E786" s="1360"/>
      <c r="F786" s="1358"/>
      <c r="G786" s="1358"/>
      <c r="H786" s="1358"/>
      <c r="I786" s="1361"/>
      <c r="J786" s="1358"/>
      <c r="K786" s="1358"/>
      <c r="L786" s="1353"/>
    </row>
    <row r="787" spans="1:12" s="1347" customFormat="1">
      <c r="A787" s="939"/>
      <c r="B787" s="939"/>
      <c r="C787" s="939"/>
      <c r="D787" s="939"/>
      <c r="E787" s="1360"/>
      <c r="F787" s="1358"/>
      <c r="G787" s="1358"/>
      <c r="H787" s="1358"/>
      <c r="I787" s="1361"/>
      <c r="J787" s="1358"/>
      <c r="K787" s="1358"/>
      <c r="L787" s="1353"/>
    </row>
    <row r="788" spans="1:12" s="1347" customFormat="1">
      <c r="A788" s="939"/>
      <c r="B788" s="939"/>
      <c r="C788" s="939"/>
      <c r="D788" s="939"/>
      <c r="E788" s="1360"/>
      <c r="F788" s="1358"/>
      <c r="G788" s="1358"/>
      <c r="H788" s="1358"/>
      <c r="I788" s="1361"/>
      <c r="J788" s="1358"/>
      <c r="K788" s="1358"/>
      <c r="L788" s="1353"/>
    </row>
    <row r="789" spans="1:12" s="1347" customFormat="1">
      <c r="A789" s="939"/>
      <c r="B789" s="939"/>
      <c r="C789" s="939"/>
      <c r="D789" s="939"/>
      <c r="E789" s="1360"/>
      <c r="F789" s="1358"/>
      <c r="G789" s="1358"/>
      <c r="H789" s="1358"/>
      <c r="I789" s="1361"/>
      <c r="J789" s="1358"/>
      <c r="K789" s="1358"/>
      <c r="L789" s="1353"/>
    </row>
    <row r="790" spans="1:12" s="1347" customFormat="1">
      <c r="A790" s="939"/>
      <c r="B790" s="939"/>
      <c r="C790" s="939"/>
      <c r="D790" s="939"/>
      <c r="E790" s="1360"/>
      <c r="F790" s="1358"/>
      <c r="G790" s="1358"/>
      <c r="H790" s="1358"/>
      <c r="I790" s="1361"/>
      <c r="J790" s="1358"/>
      <c r="K790" s="1358"/>
      <c r="L790" s="1353"/>
    </row>
    <row r="791" spans="1:12" s="1347" customFormat="1">
      <c r="A791" s="939"/>
      <c r="B791" s="939"/>
      <c r="C791" s="939"/>
      <c r="D791" s="939"/>
      <c r="E791" s="1360"/>
      <c r="F791" s="1358"/>
      <c r="G791" s="1358"/>
      <c r="H791" s="1358"/>
      <c r="I791" s="1361"/>
      <c r="J791" s="1358"/>
      <c r="K791" s="1358"/>
      <c r="L791" s="1353"/>
    </row>
    <row r="792" spans="1:12" s="1347" customFormat="1">
      <c r="A792" s="939"/>
      <c r="B792" s="939"/>
      <c r="C792" s="939"/>
      <c r="D792" s="939"/>
      <c r="E792" s="1360"/>
      <c r="F792" s="1358"/>
      <c r="G792" s="1358"/>
      <c r="H792" s="1358"/>
      <c r="I792" s="1361"/>
      <c r="J792" s="1358"/>
      <c r="K792" s="1358"/>
      <c r="L792" s="1353"/>
    </row>
    <row r="793" spans="1:12" s="1347" customFormat="1">
      <c r="A793" s="939"/>
      <c r="B793" s="939"/>
      <c r="C793" s="939"/>
      <c r="D793" s="939"/>
      <c r="E793" s="1360"/>
      <c r="F793" s="1358"/>
      <c r="G793" s="1358"/>
      <c r="H793" s="1358"/>
      <c r="I793" s="1361"/>
      <c r="J793" s="1358"/>
      <c r="K793" s="1358"/>
      <c r="L793" s="1353"/>
    </row>
    <row r="794" spans="1:12" s="1347" customFormat="1">
      <c r="A794" s="939"/>
      <c r="B794" s="939"/>
      <c r="C794" s="939"/>
      <c r="D794" s="939"/>
      <c r="E794" s="1360"/>
      <c r="F794" s="1358"/>
      <c r="G794" s="1358"/>
      <c r="H794" s="1358"/>
      <c r="I794" s="1361"/>
      <c r="J794" s="1358"/>
      <c r="K794" s="1358"/>
      <c r="L794" s="1353"/>
    </row>
    <row r="795" spans="1:12" s="1347" customFormat="1">
      <c r="A795" s="939"/>
      <c r="B795" s="939"/>
      <c r="C795" s="939"/>
      <c r="D795" s="939"/>
      <c r="E795" s="1360"/>
      <c r="F795" s="1358"/>
      <c r="G795" s="1358"/>
      <c r="H795" s="1358"/>
      <c r="I795" s="1361"/>
      <c r="J795" s="1358"/>
      <c r="K795" s="1358"/>
      <c r="L795" s="1353"/>
    </row>
    <row r="796" spans="1:12" s="1347" customFormat="1">
      <c r="A796" s="939"/>
      <c r="B796" s="939"/>
      <c r="C796" s="939"/>
      <c r="D796" s="939"/>
      <c r="E796" s="1360"/>
      <c r="F796" s="1358"/>
      <c r="G796" s="1358"/>
      <c r="H796" s="1358"/>
      <c r="I796" s="1361"/>
      <c r="J796" s="1358"/>
      <c r="K796" s="1358"/>
      <c r="L796" s="1353"/>
    </row>
    <row r="797" spans="1:12" s="1347" customFormat="1">
      <c r="A797" s="939"/>
      <c r="B797" s="939"/>
      <c r="C797" s="939"/>
      <c r="D797" s="939"/>
      <c r="E797" s="1360"/>
      <c r="F797" s="1358"/>
      <c r="G797" s="1358"/>
      <c r="H797" s="1358"/>
      <c r="I797" s="1361"/>
      <c r="J797" s="1358"/>
      <c r="K797" s="1358"/>
      <c r="L797" s="1353"/>
    </row>
    <row r="798" spans="1:12" s="1347" customFormat="1">
      <c r="A798" s="939"/>
      <c r="B798" s="939"/>
      <c r="C798" s="939"/>
      <c r="D798" s="939"/>
      <c r="E798" s="1360"/>
      <c r="F798" s="1358"/>
      <c r="G798" s="1358"/>
      <c r="H798" s="1358"/>
      <c r="I798" s="1361"/>
      <c r="J798" s="1358"/>
      <c r="K798" s="1358"/>
      <c r="L798" s="1353"/>
    </row>
    <row r="799" spans="1:12" s="1347" customFormat="1">
      <c r="A799" s="939"/>
      <c r="B799" s="939"/>
      <c r="C799" s="939"/>
      <c r="D799" s="939"/>
      <c r="E799" s="1360"/>
      <c r="F799" s="1358"/>
      <c r="G799" s="1358"/>
      <c r="H799" s="1358"/>
      <c r="I799" s="1361"/>
      <c r="J799" s="1358"/>
      <c r="K799" s="1358"/>
      <c r="L799" s="1353"/>
    </row>
    <row r="800" spans="1:12" s="1347" customFormat="1">
      <c r="A800" s="939"/>
      <c r="B800" s="939"/>
      <c r="C800" s="939"/>
      <c r="D800" s="939"/>
      <c r="E800" s="1360"/>
      <c r="F800" s="1358"/>
      <c r="G800" s="1358"/>
      <c r="H800" s="1358"/>
      <c r="I800" s="1361"/>
      <c r="J800" s="1358"/>
      <c r="K800" s="1358"/>
      <c r="L800" s="1353"/>
    </row>
    <row r="801" spans="1:12" s="1347" customFormat="1">
      <c r="A801" s="939"/>
      <c r="B801" s="939"/>
      <c r="C801" s="939"/>
      <c r="D801" s="939"/>
      <c r="E801" s="1360"/>
      <c r="F801" s="1358"/>
      <c r="G801" s="1358"/>
      <c r="H801" s="1358"/>
      <c r="I801" s="1361"/>
      <c r="J801" s="1358"/>
      <c r="K801" s="1358"/>
      <c r="L801" s="1353"/>
    </row>
    <row r="802" spans="1:12" s="1347" customFormat="1">
      <c r="A802" s="939"/>
      <c r="B802" s="939"/>
      <c r="C802" s="939"/>
      <c r="D802" s="939"/>
      <c r="E802" s="1360"/>
      <c r="F802" s="1358"/>
      <c r="G802" s="1358"/>
      <c r="H802" s="1358"/>
      <c r="I802" s="1361"/>
      <c r="J802" s="1358"/>
      <c r="K802" s="1358"/>
      <c r="L802" s="1353"/>
    </row>
    <row r="803" spans="1:12" s="1347" customFormat="1">
      <c r="A803" s="939"/>
      <c r="B803" s="939"/>
      <c r="C803" s="939"/>
      <c r="D803" s="939"/>
      <c r="E803" s="1360"/>
      <c r="F803" s="1358"/>
      <c r="G803" s="1358"/>
      <c r="H803" s="1358"/>
      <c r="I803" s="1361"/>
      <c r="J803" s="1358"/>
      <c r="K803" s="1358"/>
      <c r="L803" s="1353"/>
    </row>
    <row r="804" spans="1:12" s="1347" customFormat="1">
      <c r="A804" s="939"/>
      <c r="B804" s="939"/>
      <c r="C804" s="939"/>
      <c r="D804" s="939"/>
      <c r="E804" s="1360"/>
      <c r="F804" s="1358"/>
      <c r="G804" s="1358"/>
      <c r="H804" s="1358"/>
      <c r="I804" s="1361"/>
      <c r="J804" s="1358"/>
      <c r="K804" s="1358"/>
      <c r="L804" s="1353"/>
    </row>
    <row r="805" spans="1:12" s="1347" customFormat="1">
      <c r="A805" s="939"/>
      <c r="B805" s="939"/>
      <c r="C805" s="939"/>
      <c r="D805" s="939"/>
      <c r="E805" s="1360"/>
      <c r="F805" s="1358"/>
      <c r="G805" s="1358"/>
      <c r="H805" s="1358"/>
      <c r="I805" s="1361"/>
      <c r="J805" s="1358"/>
      <c r="K805" s="1358"/>
      <c r="L805" s="1353"/>
    </row>
    <row r="806" spans="1:12" s="1347" customFormat="1">
      <c r="A806" s="939"/>
      <c r="B806" s="939"/>
      <c r="C806" s="939"/>
      <c r="D806" s="939"/>
      <c r="E806" s="1360"/>
      <c r="F806" s="1358"/>
      <c r="G806" s="1358"/>
      <c r="H806" s="1358"/>
      <c r="I806" s="1361"/>
      <c r="J806" s="1358"/>
      <c r="K806" s="1358"/>
      <c r="L806" s="1353"/>
    </row>
    <row r="807" spans="1:12" s="1347" customFormat="1">
      <c r="A807" s="939"/>
      <c r="B807" s="939"/>
      <c r="C807" s="939"/>
      <c r="D807" s="939"/>
      <c r="E807" s="1360"/>
      <c r="F807" s="1358"/>
      <c r="G807" s="1358"/>
      <c r="H807" s="1358"/>
      <c r="I807" s="1361"/>
      <c r="J807" s="1358"/>
      <c r="K807" s="1358"/>
      <c r="L807" s="1353"/>
    </row>
    <row r="808" spans="1:12" s="1347" customFormat="1">
      <c r="A808" s="939"/>
      <c r="B808" s="939"/>
      <c r="C808" s="939"/>
      <c r="D808" s="939"/>
      <c r="E808" s="1360"/>
      <c r="F808" s="1358"/>
      <c r="G808" s="1358"/>
      <c r="H808" s="1358"/>
      <c r="I808" s="1361"/>
      <c r="J808" s="1358"/>
      <c r="K808" s="1358"/>
      <c r="L808" s="1353"/>
    </row>
    <row r="809" spans="1:12" s="1347" customFormat="1">
      <c r="A809" s="939"/>
      <c r="B809" s="939"/>
      <c r="C809" s="939"/>
      <c r="D809" s="939"/>
      <c r="E809" s="1360"/>
      <c r="F809" s="1358"/>
      <c r="G809" s="1358"/>
      <c r="H809" s="1358"/>
      <c r="I809" s="1361"/>
      <c r="J809" s="1358"/>
      <c r="K809" s="1358"/>
      <c r="L809" s="1353"/>
    </row>
    <row r="810" spans="1:12" s="1347" customFormat="1">
      <c r="A810" s="939"/>
      <c r="B810" s="939"/>
      <c r="C810" s="939"/>
      <c r="D810" s="939"/>
      <c r="E810" s="1360"/>
      <c r="F810" s="1358"/>
      <c r="G810" s="1358"/>
      <c r="H810" s="1358"/>
      <c r="I810" s="1361"/>
      <c r="J810" s="1358"/>
      <c r="K810" s="1358"/>
      <c r="L810" s="1353"/>
    </row>
    <row r="811" spans="1:12" s="1347" customFormat="1">
      <c r="A811" s="939"/>
      <c r="B811" s="939"/>
      <c r="C811" s="939"/>
      <c r="D811" s="939"/>
      <c r="E811" s="1360"/>
      <c r="F811" s="1358"/>
      <c r="G811" s="1358"/>
      <c r="H811" s="1358"/>
      <c r="I811" s="1361"/>
      <c r="J811" s="1358"/>
      <c r="K811" s="1358"/>
      <c r="L811" s="1353"/>
    </row>
    <row r="812" spans="1:12" s="1347" customFormat="1">
      <c r="A812" s="939"/>
      <c r="B812" s="939"/>
      <c r="C812" s="939"/>
      <c r="D812" s="939"/>
      <c r="E812" s="1360"/>
      <c r="F812" s="1358"/>
      <c r="G812" s="1358"/>
      <c r="H812" s="1358"/>
      <c r="I812" s="1361"/>
      <c r="J812" s="1358"/>
      <c r="K812" s="1358"/>
      <c r="L812" s="1353"/>
    </row>
    <row r="813" spans="1:12" s="1347" customFormat="1">
      <c r="A813" s="939"/>
      <c r="B813" s="939"/>
      <c r="C813" s="939"/>
      <c r="D813" s="939"/>
      <c r="E813" s="1360"/>
      <c r="F813" s="1358"/>
      <c r="G813" s="1358"/>
      <c r="H813" s="1358"/>
      <c r="I813" s="1361"/>
      <c r="J813" s="1358"/>
      <c r="K813" s="1358"/>
      <c r="L813" s="1353"/>
    </row>
    <row r="814" spans="1:12" s="1347" customFormat="1">
      <c r="A814" s="939"/>
      <c r="B814" s="939"/>
      <c r="C814" s="939"/>
      <c r="D814" s="939"/>
      <c r="E814" s="1360"/>
      <c r="F814" s="1358"/>
      <c r="G814" s="1358"/>
      <c r="H814" s="1358"/>
      <c r="I814" s="1361"/>
      <c r="J814" s="1358"/>
      <c r="K814" s="1358"/>
      <c r="L814" s="1353"/>
    </row>
    <row r="815" spans="1:12" s="1347" customFormat="1">
      <c r="A815" s="939"/>
      <c r="B815" s="939"/>
      <c r="C815" s="939"/>
      <c r="D815" s="939"/>
      <c r="E815" s="1360"/>
      <c r="F815" s="1358"/>
      <c r="G815" s="1358"/>
      <c r="H815" s="1358"/>
      <c r="I815" s="1361"/>
      <c r="J815" s="1358"/>
      <c r="K815" s="1358"/>
      <c r="L815" s="1365"/>
    </row>
    <row r="816" spans="1:12" s="1347" customFormat="1">
      <c r="A816" s="939"/>
      <c r="B816" s="939"/>
      <c r="C816" s="939"/>
      <c r="D816" s="939"/>
      <c r="E816" s="1360"/>
      <c r="F816" s="1358"/>
      <c r="G816" s="1358"/>
      <c r="H816" s="1358"/>
      <c r="I816" s="1361"/>
      <c r="J816" s="1358"/>
      <c r="K816" s="1358"/>
      <c r="L816" s="1365"/>
    </row>
    <row r="817" spans="1:12" s="1347" customFormat="1">
      <c r="A817" s="939"/>
      <c r="B817" s="939"/>
      <c r="C817" s="939"/>
      <c r="D817" s="939"/>
      <c r="E817" s="1360"/>
      <c r="F817" s="1358"/>
      <c r="G817" s="1358"/>
      <c r="H817" s="1358"/>
      <c r="I817" s="1361"/>
      <c r="J817" s="1358"/>
      <c r="K817" s="1358"/>
      <c r="L817" s="1365"/>
    </row>
    <row r="818" spans="1:12" s="1347" customFormat="1">
      <c r="A818" s="939"/>
      <c r="B818" s="939"/>
      <c r="C818" s="939"/>
      <c r="D818" s="939"/>
      <c r="E818" s="1360"/>
      <c r="F818" s="1358"/>
      <c r="G818" s="1358"/>
      <c r="H818" s="1358"/>
      <c r="I818" s="1361"/>
      <c r="J818" s="1358"/>
      <c r="K818" s="1358"/>
      <c r="L818" s="1365"/>
    </row>
    <row r="819" spans="1:12" s="1347" customFormat="1">
      <c r="A819" s="939"/>
      <c r="B819" s="939"/>
      <c r="C819" s="939"/>
      <c r="D819" s="939"/>
      <c r="E819" s="1360"/>
      <c r="F819" s="1358"/>
      <c r="G819" s="1358"/>
      <c r="H819" s="1358"/>
      <c r="I819" s="1361"/>
      <c r="J819" s="1358"/>
      <c r="K819" s="1358"/>
      <c r="L819" s="1365"/>
    </row>
    <row r="820" spans="1:12" s="1347" customFormat="1">
      <c r="A820" s="939"/>
      <c r="B820" s="939"/>
      <c r="C820" s="939"/>
      <c r="D820" s="939"/>
      <c r="E820" s="1360"/>
      <c r="F820" s="1358"/>
      <c r="G820" s="1358"/>
      <c r="H820" s="1358"/>
      <c r="I820" s="1361"/>
      <c r="J820" s="1358"/>
      <c r="K820" s="1358"/>
      <c r="L820" s="1365"/>
    </row>
    <row r="821" spans="1:12" s="1347" customFormat="1">
      <c r="A821" s="939"/>
      <c r="B821" s="939"/>
      <c r="C821" s="939"/>
      <c r="D821" s="939"/>
      <c r="E821" s="1360"/>
      <c r="F821" s="1358"/>
      <c r="G821" s="1358"/>
      <c r="H821" s="1358"/>
      <c r="I821" s="1361"/>
      <c r="J821" s="1358"/>
      <c r="K821" s="1358"/>
      <c r="L821" s="1365"/>
    </row>
    <row r="822" spans="1:12" s="1347" customFormat="1">
      <c r="A822" s="939"/>
      <c r="B822" s="939"/>
      <c r="C822" s="939"/>
      <c r="D822" s="939"/>
      <c r="E822" s="1360"/>
      <c r="F822" s="1358"/>
      <c r="G822" s="1358"/>
      <c r="H822" s="1358"/>
      <c r="I822" s="1361"/>
      <c r="J822" s="1358"/>
      <c r="K822" s="1358"/>
      <c r="L822" s="1365"/>
    </row>
    <row r="823" spans="1:12" s="1347" customFormat="1">
      <c r="A823" s="939"/>
      <c r="B823" s="939"/>
      <c r="C823" s="939"/>
      <c r="D823" s="939"/>
      <c r="E823" s="1360"/>
      <c r="F823" s="1358"/>
      <c r="G823" s="1358"/>
      <c r="H823" s="1358"/>
      <c r="I823" s="1361"/>
      <c r="J823" s="1358"/>
      <c r="K823" s="1358"/>
      <c r="L823" s="1365"/>
    </row>
    <row r="824" spans="1:12" s="1347" customFormat="1">
      <c r="A824" s="939"/>
      <c r="B824" s="939"/>
      <c r="C824" s="939"/>
      <c r="D824" s="939"/>
      <c r="E824" s="1360"/>
      <c r="F824" s="1358"/>
      <c r="G824" s="1358"/>
      <c r="H824" s="1358"/>
      <c r="I824" s="1361"/>
      <c r="J824" s="1358"/>
      <c r="K824" s="1358"/>
      <c r="L824" s="1365"/>
    </row>
    <row r="825" spans="1:12" s="1347" customFormat="1">
      <c r="A825" s="939"/>
      <c r="B825" s="939"/>
      <c r="C825" s="939"/>
      <c r="D825" s="939"/>
      <c r="E825" s="1360"/>
      <c r="F825" s="1358"/>
      <c r="G825" s="1358"/>
      <c r="H825" s="1358"/>
      <c r="I825" s="1361"/>
      <c r="J825" s="1358"/>
      <c r="K825" s="1358"/>
      <c r="L825" s="1365"/>
    </row>
    <row r="826" spans="1:12" s="1347" customFormat="1">
      <c r="A826" s="939"/>
      <c r="B826" s="939"/>
      <c r="C826" s="939"/>
      <c r="D826" s="939"/>
      <c r="E826" s="1360"/>
      <c r="F826" s="1358"/>
      <c r="G826" s="1358"/>
      <c r="H826" s="1358"/>
      <c r="I826" s="1361"/>
      <c r="J826" s="1358"/>
      <c r="K826" s="1358"/>
      <c r="L826" s="1365"/>
    </row>
    <row r="827" spans="1:12" s="1347" customFormat="1">
      <c r="A827" s="939"/>
      <c r="B827" s="939"/>
      <c r="C827" s="939"/>
      <c r="D827" s="939"/>
      <c r="E827" s="1360"/>
      <c r="F827" s="1358"/>
      <c r="G827" s="1358"/>
      <c r="H827" s="1358"/>
      <c r="I827" s="1361"/>
      <c r="J827" s="1358"/>
      <c r="K827" s="1358"/>
      <c r="L827" s="1365"/>
    </row>
    <row r="828" spans="1:12" s="1347" customFormat="1">
      <c r="A828" s="939"/>
      <c r="B828" s="939"/>
      <c r="C828" s="939"/>
      <c r="D828" s="939"/>
      <c r="E828" s="1360"/>
      <c r="F828" s="1358"/>
      <c r="G828" s="1358"/>
      <c r="H828" s="1358"/>
      <c r="I828" s="1361"/>
      <c r="J828" s="1358"/>
      <c r="K828" s="1358"/>
      <c r="L828" s="1365"/>
    </row>
    <row r="829" spans="1:12" s="1347" customFormat="1">
      <c r="A829" s="939"/>
      <c r="B829" s="939"/>
      <c r="C829" s="939"/>
      <c r="D829" s="939"/>
      <c r="E829" s="1360"/>
      <c r="F829" s="1358"/>
      <c r="G829" s="1358"/>
      <c r="H829" s="1358"/>
      <c r="I829" s="1361"/>
      <c r="J829" s="1358"/>
      <c r="K829" s="1358"/>
      <c r="L829" s="1365"/>
    </row>
    <row r="830" spans="1:12" s="1347" customFormat="1">
      <c r="A830" s="939"/>
      <c r="B830" s="939"/>
      <c r="C830" s="939"/>
      <c r="D830" s="939"/>
      <c r="E830" s="1360"/>
      <c r="F830" s="1358"/>
      <c r="G830" s="1358"/>
      <c r="H830" s="1358"/>
      <c r="I830" s="1361"/>
      <c r="J830" s="1358"/>
      <c r="K830" s="1358"/>
      <c r="L830" s="1365"/>
    </row>
    <row r="831" spans="1:12" s="1347" customFormat="1">
      <c r="A831" s="939"/>
      <c r="B831" s="939"/>
      <c r="C831" s="939"/>
      <c r="D831" s="939"/>
      <c r="E831" s="1360"/>
      <c r="F831" s="1358"/>
      <c r="G831" s="1358"/>
      <c r="H831" s="1358"/>
      <c r="I831" s="1361"/>
      <c r="J831" s="1358"/>
      <c r="K831" s="1358"/>
      <c r="L831" s="1365"/>
    </row>
    <row r="832" spans="1:12" s="1347" customFormat="1">
      <c r="A832" s="939"/>
      <c r="B832" s="939"/>
      <c r="C832" s="939"/>
      <c r="D832" s="939"/>
      <c r="E832" s="1360"/>
      <c r="F832" s="1358"/>
      <c r="G832" s="1358"/>
      <c r="H832" s="1358"/>
      <c r="I832" s="1361"/>
      <c r="J832" s="1358"/>
      <c r="K832" s="1358"/>
      <c r="L832" s="1365"/>
    </row>
    <row r="833" spans="1:12" s="1347" customFormat="1">
      <c r="A833" s="939"/>
      <c r="B833" s="939"/>
      <c r="C833" s="939"/>
      <c r="D833" s="939"/>
      <c r="E833" s="1360"/>
      <c r="F833" s="1358"/>
      <c r="G833" s="1358"/>
      <c r="H833" s="1358"/>
      <c r="I833" s="1361"/>
      <c r="J833" s="1358"/>
      <c r="K833" s="1358"/>
      <c r="L833" s="1365"/>
    </row>
    <row r="834" spans="1:12" s="1347" customFormat="1">
      <c r="A834" s="939"/>
      <c r="B834" s="939"/>
      <c r="C834" s="939"/>
      <c r="D834" s="939"/>
      <c r="E834" s="1360"/>
      <c r="F834" s="1358"/>
      <c r="G834" s="1358"/>
      <c r="H834" s="1358"/>
      <c r="I834" s="1361"/>
      <c r="J834" s="1358"/>
      <c r="K834" s="1358"/>
      <c r="L834" s="1365"/>
    </row>
    <row r="835" spans="1:12" s="1347" customFormat="1">
      <c r="A835" s="939"/>
      <c r="B835" s="939"/>
      <c r="C835" s="939"/>
      <c r="D835" s="939"/>
      <c r="E835" s="1360"/>
      <c r="F835" s="1358"/>
      <c r="G835" s="1358"/>
      <c r="H835" s="1358"/>
      <c r="I835" s="1361"/>
      <c r="J835" s="1358"/>
      <c r="K835" s="1358"/>
      <c r="L835" s="1365"/>
    </row>
    <row r="836" spans="1:12" s="1347" customFormat="1">
      <c r="A836" s="939"/>
      <c r="B836" s="939"/>
      <c r="C836" s="939"/>
      <c r="D836" s="939"/>
      <c r="E836" s="1360"/>
      <c r="F836" s="1358"/>
      <c r="G836" s="1358"/>
      <c r="H836" s="1358"/>
      <c r="I836" s="1361"/>
      <c r="J836" s="1358"/>
      <c r="K836" s="1358"/>
      <c r="L836" s="1365"/>
    </row>
    <row r="837" spans="1:12" s="1347" customFormat="1">
      <c r="A837" s="939"/>
      <c r="B837" s="939"/>
      <c r="C837" s="939"/>
      <c r="D837" s="939"/>
      <c r="E837" s="1360"/>
      <c r="F837" s="1358"/>
      <c r="G837" s="1358"/>
      <c r="H837" s="1358"/>
      <c r="I837" s="1361"/>
      <c r="J837" s="1358"/>
      <c r="K837" s="1358"/>
      <c r="L837" s="1365"/>
    </row>
    <row r="838" spans="1:12" s="1347" customFormat="1">
      <c r="A838" s="939"/>
      <c r="B838" s="939"/>
      <c r="C838" s="939"/>
      <c r="D838" s="939"/>
      <c r="E838" s="1360"/>
      <c r="F838" s="1358"/>
      <c r="G838" s="1358"/>
      <c r="H838" s="1358"/>
      <c r="I838" s="1361"/>
      <c r="J838" s="1358"/>
      <c r="K838" s="1358"/>
      <c r="L838" s="1365"/>
    </row>
    <row r="839" spans="1:12" s="1347" customFormat="1">
      <c r="A839" s="939"/>
      <c r="B839" s="939"/>
      <c r="C839" s="939"/>
      <c r="D839" s="939"/>
      <c r="E839" s="1360"/>
      <c r="F839" s="1358"/>
      <c r="G839" s="1358"/>
      <c r="H839" s="1358"/>
      <c r="I839" s="1361"/>
      <c r="J839" s="1358"/>
      <c r="K839" s="1358"/>
      <c r="L839" s="1365"/>
    </row>
    <row r="840" spans="1:12" s="1347" customFormat="1">
      <c r="A840" s="939"/>
      <c r="B840" s="939"/>
      <c r="C840" s="939"/>
      <c r="D840" s="939"/>
      <c r="E840" s="1360"/>
      <c r="F840" s="1358"/>
      <c r="G840" s="1358"/>
      <c r="H840" s="1358"/>
      <c r="I840" s="1361"/>
      <c r="J840" s="1358"/>
      <c r="K840" s="1358"/>
      <c r="L840" s="1365"/>
    </row>
    <row r="841" spans="1:12" s="1347" customFormat="1">
      <c r="A841" s="939"/>
      <c r="B841" s="939"/>
      <c r="C841" s="939"/>
      <c r="D841" s="939"/>
      <c r="E841" s="1360"/>
      <c r="F841" s="1358"/>
      <c r="G841" s="1358"/>
      <c r="H841" s="1358"/>
      <c r="I841" s="1361"/>
      <c r="J841" s="1358"/>
      <c r="K841" s="1358"/>
      <c r="L841" s="1365"/>
    </row>
    <row r="842" spans="1:12" s="1347" customFormat="1">
      <c r="A842" s="939"/>
      <c r="B842" s="939"/>
      <c r="C842" s="939"/>
      <c r="D842" s="939"/>
      <c r="E842" s="1360"/>
      <c r="F842" s="1358"/>
      <c r="G842" s="1358"/>
      <c r="H842" s="1358"/>
      <c r="I842" s="1361"/>
      <c r="J842" s="1358"/>
      <c r="K842" s="1358"/>
      <c r="L842" s="1365"/>
    </row>
    <row r="843" spans="1:12" s="1347" customFormat="1">
      <c r="A843" s="939"/>
      <c r="B843" s="939"/>
      <c r="C843" s="939"/>
      <c r="D843" s="939"/>
      <c r="E843" s="1360"/>
      <c r="F843" s="1358"/>
      <c r="G843" s="1358"/>
      <c r="H843" s="1358"/>
      <c r="I843" s="1361"/>
      <c r="J843" s="1358"/>
      <c r="K843" s="1358"/>
      <c r="L843" s="1365"/>
    </row>
    <row r="844" spans="1:12" s="1347" customFormat="1">
      <c r="A844" s="939"/>
      <c r="B844" s="939"/>
      <c r="C844" s="939"/>
      <c r="D844" s="939"/>
      <c r="E844" s="1360"/>
      <c r="F844" s="1358"/>
      <c r="G844" s="1358"/>
      <c r="H844" s="1358"/>
      <c r="I844" s="1361"/>
      <c r="J844" s="1358"/>
      <c r="K844" s="1358"/>
      <c r="L844" s="1365"/>
    </row>
    <row r="845" spans="1:12" s="1347" customFormat="1">
      <c r="A845" s="939"/>
      <c r="B845" s="939"/>
      <c r="C845" s="939"/>
      <c r="D845" s="939"/>
      <c r="E845" s="1360"/>
      <c r="F845" s="1358"/>
      <c r="G845" s="1358"/>
      <c r="H845" s="1358"/>
      <c r="I845" s="1361"/>
      <c r="J845" s="1358"/>
      <c r="K845" s="1358"/>
      <c r="L845" s="1365"/>
    </row>
    <row r="846" spans="1:12" s="1347" customFormat="1">
      <c r="A846" s="939"/>
      <c r="B846" s="939"/>
      <c r="C846" s="939"/>
      <c r="D846" s="939"/>
      <c r="E846" s="1360"/>
      <c r="F846" s="1358"/>
      <c r="G846" s="1358"/>
      <c r="H846" s="1358"/>
      <c r="I846" s="1361"/>
      <c r="J846" s="1358"/>
      <c r="K846" s="1358"/>
      <c r="L846" s="1365"/>
    </row>
    <row r="847" spans="1:12" s="1347" customFormat="1">
      <c r="A847" s="939"/>
      <c r="B847" s="939"/>
      <c r="C847" s="939"/>
      <c r="D847" s="939"/>
      <c r="E847" s="1360"/>
      <c r="F847" s="1358"/>
      <c r="G847" s="1358"/>
      <c r="H847" s="1358"/>
      <c r="I847" s="1361"/>
      <c r="J847" s="1358"/>
      <c r="K847" s="1358"/>
      <c r="L847" s="1365"/>
    </row>
    <row r="848" spans="1:12" s="1347" customFormat="1">
      <c r="A848" s="939"/>
      <c r="B848" s="939"/>
      <c r="C848" s="939"/>
      <c r="D848" s="939"/>
      <c r="E848" s="1360"/>
      <c r="F848" s="1358"/>
      <c r="G848" s="1358"/>
      <c r="H848" s="1358"/>
      <c r="I848" s="1361"/>
      <c r="J848" s="1358"/>
      <c r="K848" s="1358"/>
      <c r="L848" s="1365"/>
    </row>
    <row r="849" spans="1:12" s="1347" customFormat="1">
      <c r="A849" s="939"/>
      <c r="B849" s="939"/>
      <c r="C849" s="939"/>
      <c r="D849" s="939"/>
      <c r="E849" s="1360"/>
      <c r="F849" s="1358"/>
      <c r="G849" s="1358"/>
      <c r="H849" s="1358"/>
      <c r="I849" s="1361"/>
      <c r="J849" s="1358"/>
      <c r="K849" s="1358"/>
      <c r="L849" s="1365"/>
    </row>
    <row r="850" spans="1:12" s="1347" customFormat="1">
      <c r="A850" s="939"/>
      <c r="B850" s="939"/>
      <c r="C850" s="939"/>
      <c r="D850" s="939"/>
      <c r="E850" s="1360"/>
      <c r="F850" s="1358"/>
      <c r="G850" s="1358"/>
      <c r="H850" s="1358"/>
      <c r="I850" s="1361"/>
      <c r="J850" s="1358"/>
      <c r="K850" s="1358"/>
      <c r="L850" s="1365"/>
    </row>
    <row r="851" spans="1:12" s="1347" customFormat="1">
      <c r="A851" s="939"/>
      <c r="B851" s="939"/>
      <c r="C851" s="939"/>
      <c r="D851" s="939"/>
      <c r="E851" s="1360"/>
      <c r="F851" s="1358"/>
      <c r="G851" s="1358"/>
      <c r="H851" s="1358"/>
      <c r="I851" s="1361"/>
      <c r="J851" s="1358"/>
      <c r="K851" s="1358"/>
      <c r="L851" s="1365"/>
    </row>
    <row r="852" spans="1:12" s="1347" customFormat="1">
      <c r="A852" s="939"/>
      <c r="B852" s="939"/>
      <c r="C852" s="939"/>
      <c r="D852" s="939"/>
      <c r="E852" s="1360"/>
      <c r="F852" s="1358"/>
      <c r="G852" s="1358"/>
      <c r="H852" s="1358"/>
      <c r="I852" s="1361"/>
      <c r="J852" s="1358"/>
      <c r="K852" s="1358"/>
      <c r="L852" s="1365"/>
    </row>
    <row r="853" spans="1:12" s="1347" customFormat="1">
      <c r="A853" s="939"/>
      <c r="B853" s="939"/>
      <c r="C853" s="939"/>
      <c r="D853" s="939"/>
      <c r="E853" s="1360"/>
      <c r="F853" s="1358"/>
      <c r="G853" s="1358"/>
      <c r="H853" s="1358"/>
      <c r="I853" s="1361"/>
      <c r="J853" s="1358"/>
      <c r="K853" s="1358"/>
      <c r="L853" s="1365"/>
    </row>
    <row r="854" spans="1:12" s="1347" customFormat="1">
      <c r="A854" s="939"/>
      <c r="B854" s="939"/>
      <c r="C854" s="939"/>
      <c r="D854" s="939"/>
      <c r="E854" s="1360"/>
      <c r="F854" s="1358"/>
      <c r="G854" s="1358"/>
      <c r="H854" s="1358"/>
      <c r="I854" s="1361"/>
      <c r="J854" s="1358"/>
      <c r="K854" s="1358"/>
      <c r="L854" s="1365"/>
    </row>
    <row r="855" spans="1:12" s="1347" customFormat="1">
      <c r="A855" s="939"/>
      <c r="B855" s="939"/>
      <c r="C855" s="939"/>
      <c r="D855" s="939"/>
      <c r="E855" s="1360"/>
      <c r="F855" s="1358"/>
      <c r="G855" s="1358"/>
      <c r="H855" s="1358"/>
      <c r="I855" s="1361"/>
      <c r="J855" s="1358"/>
      <c r="K855" s="1358"/>
      <c r="L855" s="1365"/>
    </row>
    <row r="856" spans="1:12" s="1347" customFormat="1">
      <c r="A856" s="939"/>
      <c r="B856" s="939"/>
      <c r="C856" s="939"/>
      <c r="D856" s="939"/>
      <c r="E856" s="1360"/>
      <c r="F856" s="1358"/>
      <c r="G856" s="1358"/>
      <c r="H856" s="1358"/>
      <c r="I856" s="1361"/>
      <c r="J856" s="1358"/>
      <c r="K856" s="1358"/>
      <c r="L856" s="1365"/>
    </row>
    <row r="857" spans="1:12" s="1347" customFormat="1">
      <c r="A857" s="939"/>
      <c r="B857" s="939"/>
      <c r="C857" s="939"/>
      <c r="D857" s="939"/>
      <c r="E857" s="1360"/>
      <c r="F857" s="1358"/>
      <c r="G857" s="1358"/>
      <c r="H857" s="1358"/>
      <c r="I857" s="1361"/>
      <c r="J857" s="1358"/>
      <c r="K857" s="1358"/>
      <c r="L857" s="1365"/>
    </row>
    <row r="858" spans="1:12" s="1347" customFormat="1">
      <c r="A858" s="939"/>
      <c r="B858" s="939"/>
      <c r="C858" s="939"/>
      <c r="D858" s="939"/>
      <c r="E858" s="1360"/>
      <c r="F858" s="1358"/>
      <c r="G858" s="1358"/>
      <c r="H858" s="1358"/>
      <c r="I858" s="1361"/>
      <c r="J858" s="1358"/>
      <c r="K858" s="1358"/>
      <c r="L858" s="1365"/>
    </row>
    <row r="859" spans="1:12" s="1347" customFormat="1">
      <c r="A859" s="939"/>
      <c r="B859" s="939"/>
      <c r="C859" s="939"/>
      <c r="D859" s="939"/>
      <c r="E859" s="1360"/>
      <c r="F859" s="1358"/>
      <c r="G859" s="1358"/>
      <c r="H859" s="1358"/>
      <c r="I859" s="1361"/>
      <c r="J859" s="1358"/>
      <c r="K859" s="1358"/>
      <c r="L859" s="1365"/>
    </row>
    <row r="860" spans="1:12" s="1347" customFormat="1">
      <c r="A860" s="939"/>
      <c r="B860" s="939"/>
      <c r="C860" s="939"/>
      <c r="D860" s="939"/>
      <c r="E860" s="1360"/>
      <c r="F860" s="1358"/>
      <c r="G860" s="1358"/>
      <c r="H860" s="1358"/>
      <c r="I860" s="1361"/>
      <c r="J860" s="1358"/>
      <c r="K860" s="1358"/>
      <c r="L860" s="1365"/>
    </row>
    <row r="861" spans="1:12" s="1347" customFormat="1">
      <c r="A861" s="939"/>
      <c r="B861" s="939"/>
      <c r="C861" s="939"/>
      <c r="D861" s="939"/>
      <c r="E861" s="1360"/>
      <c r="F861" s="1358"/>
      <c r="G861" s="1358"/>
      <c r="H861" s="1358"/>
      <c r="I861" s="1361"/>
      <c r="J861" s="1358"/>
      <c r="K861" s="1358"/>
      <c r="L861" s="1365"/>
    </row>
    <row r="862" spans="1:12" s="1347" customFormat="1">
      <c r="A862" s="939"/>
      <c r="B862" s="939"/>
      <c r="C862" s="939"/>
      <c r="D862" s="939"/>
      <c r="E862" s="1360"/>
      <c r="F862" s="1358"/>
      <c r="G862" s="1358"/>
      <c r="H862" s="1358"/>
      <c r="I862" s="1361"/>
      <c r="J862" s="1358"/>
      <c r="K862" s="1358"/>
      <c r="L862" s="1365"/>
    </row>
    <row r="863" spans="1:12" s="1347" customFormat="1">
      <c r="A863" s="939"/>
      <c r="B863" s="939"/>
      <c r="C863" s="939"/>
      <c r="D863" s="939"/>
      <c r="E863" s="1360"/>
      <c r="F863" s="1358"/>
      <c r="G863" s="1358"/>
      <c r="H863" s="1358"/>
      <c r="I863" s="1361"/>
      <c r="J863" s="1358"/>
      <c r="K863" s="1358"/>
      <c r="L863" s="1365"/>
    </row>
    <row r="864" spans="1:12" s="1347" customFormat="1">
      <c r="A864" s="939"/>
      <c r="B864" s="939"/>
      <c r="C864" s="939"/>
      <c r="D864" s="939"/>
      <c r="E864" s="1360"/>
      <c r="F864" s="1358"/>
      <c r="G864" s="1358"/>
      <c r="H864" s="1358"/>
      <c r="I864" s="1361"/>
      <c r="J864" s="1358"/>
      <c r="K864" s="1358"/>
      <c r="L864" s="1365"/>
    </row>
    <row r="865" spans="1:12" s="1347" customFormat="1">
      <c r="A865" s="939"/>
      <c r="B865" s="939"/>
      <c r="C865" s="939"/>
      <c r="D865" s="939"/>
      <c r="E865" s="1360"/>
      <c r="F865" s="1358"/>
      <c r="G865" s="1358"/>
      <c r="H865" s="1358"/>
      <c r="I865" s="1361"/>
      <c r="J865" s="1358"/>
      <c r="K865" s="1358"/>
      <c r="L865" s="1365"/>
    </row>
    <row r="866" spans="1:12" s="1347" customFormat="1">
      <c r="A866" s="939"/>
      <c r="B866" s="939"/>
      <c r="C866" s="939"/>
      <c r="D866" s="939"/>
      <c r="E866" s="1360"/>
      <c r="F866" s="1358"/>
      <c r="G866" s="1358"/>
      <c r="H866" s="1358"/>
      <c r="I866" s="1361"/>
      <c r="J866" s="1358"/>
      <c r="K866" s="1358"/>
      <c r="L866" s="1365"/>
    </row>
    <row r="867" spans="1:12" s="1347" customFormat="1">
      <c r="A867" s="939"/>
      <c r="B867" s="939"/>
      <c r="C867" s="939"/>
      <c r="D867" s="939"/>
      <c r="E867" s="1360"/>
      <c r="F867" s="1358"/>
      <c r="G867" s="1358"/>
      <c r="H867" s="1358"/>
      <c r="I867" s="1361"/>
      <c r="J867" s="1358"/>
      <c r="K867" s="1358"/>
      <c r="L867" s="1365"/>
    </row>
    <row r="868" spans="1:12" s="1347" customFormat="1">
      <c r="A868" s="939"/>
      <c r="B868" s="939"/>
      <c r="C868" s="939"/>
      <c r="D868" s="939"/>
      <c r="E868" s="1360"/>
      <c r="F868" s="1358"/>
      <c r="G868" s="1358"/>
      <c r="H868" s="1358"/>
      <c r="I868" s="1361"/>
      <c r="J868" s="1358"/>
      <c r="K868" s="1358"/>
      <c r="L868" s="1365"/>
    </row>
    <row r="869" spans="1:12" s="1347" customFormat="1">
      <c r="A869" s="939"/>
      <c r="B869" s="939"/>
      <c r="C869" s="939"/>
      <c r="D869" s="939"/>
      <c r="E869" s="1360"/>
      <c r="F869" s="1358"/>
      <c r="G869" s="1358"/>
      <c r="H869" s="1358"/>
      <c r="I869" s="1361"/>
      <c r="J869" s="1358"/>
      <c r="K869" s="1358"/>
      <c r="L869" s="1365"/>
    </row>
    <row r="870" spans="1:12" s="1347" customFormat="1">
      <c r="A870" s="939"/>
      <c r="B870" s="939"/>
      <c r="C870" s="939"/>
      <c r="D870" s="939"/>
      <c r="E870" s="1360"/>
      <c r="F870" s="1358"/>
      <c r="G870" s="1358"/>
      <c r="H870" s="1358"/>
      <c r="I870" s="1361"/>
      <c r="J870" s="1358"/>
      <c r="K870" s="1358"/>
      <c r="L870" s="1365"/>
    </row>
    <row r="871" spans="1:12" s="1347" customFormat="1">
      <c r="A871" s="939"/>
      <c r="B871" s="939"/>
      <c r="C871" s="939"/>
      <c r="D871" s="939"/>
      <c r="E871" s="1360"/>
      <c r="F871" s="1358"/>
      <c r="G871" s="1358"/>
      <c r="H871" s="1358"/>
      <c r="I871" s="1361"/>
      <c r="J871" s="1358"/>
      <c r="K871" s="1358"/>
      <c r="L871" s="1365"/>
    </row>
    <row r="872" spans="1:12" s="1347" customFormat="1">
      <c r="A872" s="939"/>
      <c r="B872" s="939"/>
      <c r="C872" s="939"/>
      <c r="D872" s="939"/>
      <c r="E872" s="1360"/>
      <c r="F872" s="1358"/>
      <c r="G872" s="1358"/>
      <c r="H872" s="1358"/>
      <c r="I872" s="1361"/>
      <c r="J872" s="1358"/>
      <c r="K872" s="1358"/>
      <c r="L872" s="1365"/>
    </row>
    <row r="873" spans="1:12" s="1347" customFormat="1">
      <c r="A873" s="939"/>
      <c r="B873" s="939"/>
      <c r="C873" s="939"/>
      <c r="D873" s="939"/>
      <c r="E873" s="1360"/>
      <c r="F873" s="1358"/>
      <c r="G873" s="1358"/>
      <c r="H873" s="1358"/>
      <c r="I873" s="1361"/>
      <c r="J873" s="1358"/>
      <c r="K873" s="1358"/>
      <c r="L873" s="1365"/>
    </row>
    <row r="874" spans="1:12" s="1347" customFormat="1">
      <c r="A874" s="939"/>
      <c r="B874" s="939"/>
      <c r="C874" s="939"/>
      <c r="D874" s="939"/>
      <c r="E874" s="1360"/>
      <c r="F874" s="1358"/>
      <c r="G874" s="1358"/>
      <c r="H874" s="1358"/>
      <c r="I874" s="1361"/>
      <c r="J874" s="1358"/>
      <c r="K874" s="1358"/>
      <c r="L874" s="1365"/>
    </row>
    <row r="875" spans="1:12" s="1347" customFormat="1">
      <c r="A875" s="939"/>
      <c r="B875" s="939"/>
      <c r="C875" s="939"/>
      <c r="D875" s="939"/>
      <c r="E875" s="1360"/>
      <c r="F875" s="1358"/>
      <c r="G875" s="1358"/>
      <c r="H875" s="1358"/>
      <c r="I875" s="1361"/>
      <c r="J875" s="1358"/>
      <c r="K875" s="1358"/>
      <c r="L875" s="1365"/>
    </row>
    <row r="876" spans="1:12" s="1347" customFormat="1">
      <c r="A876" s="939"/>
      <c r="B876" s="939"/>
      <c r="C876" s="939"/>
      <c r="D876" s="939"/>
      <c r="E876" s="1360"/>
      <c r="F876" s="1358"/>
      <c r="G876" s="1358"/>
      <c r="H876" s="1358"/>
      <c r="I876" s="1361"/>
      <c r="J876" s="1358"/>
      <c r="K876" s="1358"/>
      <c r="L876" s="1365"/>
    </row>
    <row r="877" spans="1:12" s="1347" customFormat="1">
      <c r="A877" s="939"/>
      <c r="B877" s="939"/>
      <c r="C877" s="939"/>
      <c r="D877" s="939"/>
      <c r="E877" s="1360"/>
      <c r="F877" s="1358"/>
      <c r="G877" s="1358"/>
      <c r="H877" s="1358"/>
      <c r="I877" s="1361"/>
      <c r="J877" s="1358"/>
      <c r="K877" s="1358"/>
      <c r="L877" s="1365"/>
    </row>
    <row r="878" spans="1:12" s="1347" customFormat="1">
      <c r="A878" s="939"/>
      <c r="B878" s="939"/>
      <c r="C878" s="939"/>
      <c r="D878" s="939"/>
      <c r="E878" s="1360"/>
      <c r="F878" s="1358"/>
      <c r="G878" s="1358"/>
      <c r="H878" s="1358"/>
      <c r="I878" s="1361"/>
      <c r="J878" s="1358"/>
      <c r="K878" s="1358"/>
      <c r="L878" s="1365"/>
    </row>
    <row r="879" spans="1:12" s="1347" customFormat="1">
      <c r="A879" s="939"/>
      <c r="B879" s="939"/>
      <c r="C879" s="939"/>
      <c r="D879" s="939"/>
      <c r="E879" s="1360"/>
      <c r="F879" s="1358"/>
      <c r="G879" s="1358"/>
      <c r="H879" s="1358"/>
      <c r="I879" s="1361"/>
      <c r="J879" s="1358"/>
      <c r="K879" s="1358"/>
      <c r="L879" s="1365"/>
    </row>
    <row r="880" spans="1:12" s="1347" customFormat="1">
      <c r="A880" s="939"/>
      <c r="B880" s="939"/>
      <c r="C880" s="939"/>
      <c r="D880" s="939"/>
      <c r="E880" s="1360"/>
      <c r="F880" s="1358"/>
      <c r="G880" s="1358"/>
      <c r="H880" s="1358"/>
      <c r="I880" s="1361"/>
      <c r="J880" s="1358"/>
      <c r="K880" s="1358"/>
      <c r="L880" s="1365"/>
    </row>
    <row r="881" spans="1:12" s="1347" customFormat="1">
      <c r="A881" s="939"/>
      <c r="B881" s="939"/>
      <c r="C881" s="939"/>
      <c r="D881" s="939"/>
      <c r="E881" s="1360"/>
      <c r="F881" s="1358"/>
      <c r="G881" s="1358"/>
      <c r="H881" s="1358"/>
      <c r="I881" s="1361"/>
      <c r="J881" s="1358"/>
      <c r="K881" s="1358"/>
      <c r="L881" s="1365"/>
    </row>
    <row r="882" spans="1:12" s="1347" customFormat="1">
      <c r="A882" s="939"/>
      <c r="B882" s="939"/>
      <c r="C882" s="939"/>
      <c r="D882" s="939"/>
      <c r="E882" s="1360"/>
      <c r="F882" s="1358"/>
      <c r="G882" s="1358"/>
      <c r="H882" s="1358"/>
      <c r="I882" s="1361"/>
      <c r="J882" s="1358"/>
      <c r="K882" s="1358"/>
      <c r="L882" s="1365"/>
    </row>
    <row r="883" spans="1:12" s="1347" customFormat="1">
      <c r="A883" s="939"/>
      <c r="B883" s="939"/>
      <c r="C883" s="939"/>
      <c r="D883" s="939"/>
      <c r="E883" s="1360"/>
      <c r="F883" s="1358"/>
      <c r="G883" s="1358"/>
      <c r="H883" s="1358"/>
      <c r="I883" s="1361"/>
      <c r="J883" s="1358"/>
      <c r="K883" s="1358"/>
      <c r="L883" s="1365"/>
    </row>
    <row r="884" spans="1:12" s="1347" customFormat="1">
      <c r="A884" s="939"/>
      <c r="B884" s="939"/>
      <c r="C884" s="939"/>
      <c r="D884" s="939"/>
      <c r="E884" s="1360"/>
      <c r="F884" s="1358"/>
      <c r="G884" s="1358"/>
      <c r="H884" s="1358"/>
      <c r="I884" s="1361"/>
      <c r="J884" s="1358"/>
      <c r="K884" s="1358"/>
      <c r="L884" s="1365"/>
    </row>
    <row r="885" spans="1:12" s="1347" customFormat="1">
      <c r="A885" s="939"/>
      <c r="B885" s="939"/>
      <c r="C885" s="939"/>
      <c r="D885" s="939"/>
      <c r="E885" s="1360"/>
      <c r="F885" s="1358"/>
      <c r="G885" s="1358"/>
      <c r="H885" s="1358"/>
      <c r="I885" s="1361"/>
      <c r="J885" s="1358"/>
      <c r="K885" s="1358"/>
      <c r="L885" s="1365"/>
    </row>
    <row r="886" spans="1:12" s="1347" customFormat="1">
      <c r="A886" s="939"/>
      <c r="B886" s="939"/>
      <c r="C886" s="939"/>
      <c r="D886" s="939"/>
      <c r="E886" s="1360"/>
      <c r="F886" s="1358"/>
      <c r="G886" s="1358"/>
      <c r="H886" s="1358"/>
      <c r="I886" s="1361"/>
      <c r="J886" s="1358"/>
      <c r="K886" s="1358"/>
      <c r="L886" s="1365"/>
    </row>
    <row r="887" spans="1:12" s="1347" customFormat="1">
      <c r="A887" s="939"/>
      <c r="B887" s="939"/>
      <c r="C887" s="939"/>
      <c r="D887" s="939"/>
      <c r="E887" s="1360"/>
      <c r="F887" s="1358"/>
      <c r="G887" s="1358"/>
      <c r="H887" s="1358"/>
      <c r="I887" s="1361"/>
      <c r="J887" s="1358"/>
      <c r="K887" s="1358"/>
      <c r="L887" s="1365"/>
    </row>
    <row r="888" spans="1:12" s="1347" customFormat="1">
      <c r="A888" s="939"/>
      <c r="B888" s="939"/>
      <c r="C888" s="939"/>
      <c r="D888" s="939"/>
      <c r="E888" s="1360"/>
      <c r="F888" s="1358"/>
      <c r="G888" s="1358"/>
      <c r="H888" s="1358"/>
      <c r="I888" s="1361"/>
      <c r="J888" s="1358"/>
      <c r="K888" s="1358"/>
      <c r="L888" s="1365"/>
    </row>
    <row r="889" spans="1:12" s="1347" customFormat="1">
      <c r="A889" s="939"/>
      <c r="B889" s="939"/>
      <c r="C889" s="939"/>
      <c r="D889" s="939"/>
      <c r="E889" s="1360"/>
      <c r="F889" s="1358"/>
      <c r="G889" s="1358"/>
      <c r="H889" s="1358"/>
      <c r="I889" s="1361"/>
      <c r="J889" s="1358"/>
      <c r="K889" s="1358"/>
      <c r="L889" s="1365"/>
    </row>
    <row r="890" spans="1:12" s="1347" customFormat="1">
      <c r="A890" s="939"/>
      <c r="B890" s="939"/>
      <c r="C890" s="939"/>
      <c r="D890" s="939"/>
      <c r="E890" s="1360"/>
      <c r="F890" s="1358"/>
      <c r="G890" s="1358"/>
      <c r="H890" s="1358"/>
      <c r="I890" s="1361"/>
      <c r="J890" s="1358"/>
      <c r="K890" s="1358"/>
      <c r="L890" s="1365"/>
    </row>
    <row r="891" spans="1:12" s="1347" customFormat="1">
      <c r="A891" s="939"/>
      <c r="B891" s="939"/>
      <c r="C891" s="939"/>
      <c r="D891" s="939"/>
      <c r="E891" s="1360"/>
      <c r="F891" s="1358"/>
      <c r="G891" s="1358"/>
      <c r="H891" s="1358"/>
      <c r="I891" s="1361"/>
      <c r="J891" s="1358"/>
      <c r="K891" s="1358"/>
      <c r="L891" s="1365"/>
    </row>
    <row r="892" spans="1:12" s="1347" customFormat="1">
      <c r="A892" s="939"/>
      <c r="B892" s="939"/>
      <c r="C892" s="939"/>
      <c r="D892" s="939"/>
      <c r="E892" s="1360"/>
      <c r="F892" s="1358"/>
      <c r="G892" s="1358"/>
      <c r="H892" s="1358"/>
      <c r="I892" s="1361"/>
      <c r="J892" s="1358"/>
      <c r="K892" s="1358"/>
      <c r="L892" s="1365"/>
    </row>
    <row r="893" spans="1:12" s="1347" customFormat="1">
      <c r="A893" s="939"/>
      <c r="B893" s="939"/>
      <c r="C893" s="939"/>
      <c r="D893" s="939"/>
      <c r="E893" s="1360"/>
      <c r="F893" s="1358"/>
      <c r="G893" s="1358"/>
      <c r="H893" s="1358"/>
      <c r="I893" s="1361"/>
      <c r="J893" s="1358"/>
      <c r="K893" s="1358"/>
      <c r="L893" s="1365"/>
    </row>
    <row r="894" spans="1:12" s="1347" customFormat="1">
      <c r="A894" s="939"/>
      <c r="B894" s="939"/>
      <c r="C894" s="939"/>
      <c r="D894" s="939"/>
      <c r="E894" s="1360"/>
      <c r="F894" s="1358"/>
      <c r="G894" s="1358"/>
      <c r="H894" s="1358"/>
      <c r="I894" s="1361"/>
      <c r="J894" s="1358"/>
      <c r="K894" s="1358"/>
      <c r="L894" s="1365"/>
    </row>
    <row r="895" spans="1:12" s="1347" customFormat="1">
      <c r="A895" s="939"/>
      <c r="B895" s="939"/>
      <c r="C895" s="939"/>
      <c r="D895" s="939"/>
      <c r="E895" s="1360"/>
      <c r="F895" s="1358"/>
      <c r="G895" s="1358"/>
      <c r="H895" s="1358"/>
      <c r="I895" s="1361"/>
      <c r="J895" s="1358"/>
      <c r="K895" s="1358"/>
      <c r="L895" s="1365"/>
    </row>
    <row r="896" spans="1:12" s="1347" customFormat="1">
      <c r="A896" s="939"/>
      <c r="B896" s="939"/>
      <c r="C896" s="939"/>
      <c r="D896" s="939"/>
      <c r="E896" s="1360"/>
      <c r="F896" s="1358"/>
      <c r="G896" s="1358"/>
      <c r="H896" s="1358"/>
      <c r="I896" s="1361"/>
      <c r="J896" s="1358"/>
      <c r="K896" s="1358"/>
      <c r="L896" s="1365"/>
    </row>
    <row r="897" spans="1:12" s="1347" customFormat="1">
      <c r="A897" s="939"/>
      <c r="B897" s="939"/>
      <c r="C897" s="939"/>
      <c r="D897" s="939"/>
      <c r="E897" s="1360"/>
      <c r="F897" s="1358"/>
      <c r="G897" s="1358"/>
      <c r="H897" s="1358"/>
      <c r="I897" s="1361"/>
      <c r="J897" s="1358"/>
      <c r="K897" s="1358"/>
      <c r="L897" s="1365"/>
    </row>
    <row r="898" spans="1:12" s="1347" customFormat="1">
      <c r="A898" s="939"/>
      <c r="B898" s="939"/>
      <c r="C898" s="939"/>
      <c r="D898" s="939"/>
      <c r="E898" s="1360"/>
      <c r="F898" s="1358"/>
      <c r="G898" s="1358"/>
      <c r="H898" s="1358"/>
      <c r="I898" s="1361"/>
      <c r="J898" s="1358"/>
      <c r="K898" s="1358"/>
      <c r="L898" s="1365"/>
    </row>
    <row r="899" spans="1:12" s="1347" customFormat="1">
      <c r="A899" s="939"/>
      <c r="B899" s="939"/>
      <c r="C899" s="939"/>
      <c r="D899" s="939"/>
      <c r="E899" s="1360"/>
      <c r="F899" s="1358"/>
      <c r="G899" s="1358"/>
      <c r="H899" s="1358"/>
      <c r="I899" s="1361"/>
      <c r="J899" s="1358"/>
      <c r="K899" s="1358"/>
      <c r="L899" s="1365"/>
    </row>
    <row r="900" spans="1:12" s="1347" customFormat="1">
      <c r="A900" s="939"/>
      <c r="B900" s="939"/>
      <c r="C900" s="939"/>
      <c r="D900" s="939"/>
      <c r="E900" s="1360"/>
      <c r="F900" s="1358"/>
      <c r="G900" s="1358"/>
      <c r="H900" s="1358"/>
      <c r="I900" s="1361"/>
      <c r="J900" s="1358"/>
      <c r="K900" s="1358"/>
      <c r="L900" s="1365"/>
    </row>
    <row r="901" spans="1:12" s="1347" customFormat="1">
      <c r="A901" s="939"/>
      <c r="B901" s="939"/>
      <c r="C901" s="939"/>
      <c r="D901" s="939"/>
      <c r="E901" s="1360"/>
      <c r="F901" s="1358"/>
      <c r="G901" s="1358"/>
      <c r="H901" s="1358"/>
      <c r="I901" s="1361"/>
      <c r="J901" s="1358"/>
      <c r="K901" s="1358"/>
      <c r="L901" s="1365"/>
    </row>
    <row r="902" spans="1:12" s="1347" customFormat="1">
      <c r="A902" s="939"/>
      <c r="B902" s="939"/>
      <c r="C902" s="939"/>
      <c r="D902" s="939"/>
      <c r="E902" s="1360"/>
      <c r="F902" s="1358"/>
      <c r="G902" s="1358"/>
      <c r="H902" s="1358"/>
      <c r="I902" s="1361"/>
      <c r="J902" s="1358"/>
      <c r="K902" s="1358"/>
      <c r="L902" s="1365"/>
    </row>
    <row r="903" spans="1:12" s="1347" customFormat="1">
      <c r="A903" s="939"/>
      <c r="B903" s="939"/>
      <c r="C903" s="939"/>
      <c r="D903" s="939"/>
      <c r="E903" s="1360"/>
      <c r="F903" s="1358"/>
      <c r="G903" s="1358"/>
      <c r="H903" s="1358"/>
      <c r="I903" s="1361"/>
      <c r="J903" s="1358"/>
      <c r="K903" s="1358"/>
      <c r="L903" s="1365"/>
    </row>
    <row r="904" spans="1:12" s="1347" customFormat="1">
      <c r="A904" s="939"/>
      <c r="B904" s="939"/>
      <c r="C904" s="939"/>
      <c r="D904" s="939"/>
      <c r="E904" s="1360"/>
      <c r="F904" s="1358"/>
      <c r="G904" s="1358"/>
      <c r="H904" s="1358"/>
      <c r="I904" s="1361"/>
      <c r="J904" s="1358"/>
      <c r="K904" s="1358"/>
      <c r="L904" s="1365"/>
    </row>
    <row r="905" spans="1:12" s="1347" customFormat="1">
      <c r="A905" s="939"/>
      <c r="B905" s="939"/>
      <c r="C905" s="939"/>
      <c r="D905" s="939"/>
      <c r="E905" s="1360"/>
      <c r="F905" s="1358"/>
      <c r="G905" s="1358"/>
      <c r="H905" s="1358"/>
      <c r="I905" s="1361"/>
      <c r="J905" s="1358"/>
      <c r="K905" s="1358"/>
      <c r="L905" s="1365"/>
    </row>
    <row r="906" spans="1:12" s="1347" customFormat="1">
      <c r="A906" s="939"/>
      <c r="B906" s="939"/>
      <c r="C906" s="939"/>
      <c r="D906" s="939"/>
      <c r="E906" s="1360"/>
      <c r="F906" s="1358"/>
      <c r="G906" s="1358"/>
      <c r="H906" s="1358"/>
      <c r="I906" s="1361"/>
      <c r="J906" s="1358"/>
      <c r="K906" s="1358"/>
      <c r="L906" s="1365"/>
    </row>
    <row r="907" spans="1:12" s="1347" customFormat="1">
      <c r="A907" s="939"/>
      <c r="B907" s="939"/>
      <c r="C907" s="939"/>
      <c r="D907" s="939"/>
      <c r="E907" s="1360"/>
      <c r="F907" s="1358"/>
      <c r="G907" s="1358"/>
      <c r="H907" s="1358"/>
      <c r="I907" s="1361"/>
      <c r="J907" s="1358"/>
      <c r="K907" s="1358"/>
      <c r="L907" s="1365"/>
    </row>
    <row r="908" spans="1:12" s="1347" customFormat="1">
      <c r="A908" s="939"/>
      <c r="B908" s="939"/>
      <c r="C908" s="939"/>
      <c r="D908" s="939"/>
      <c r="E908" s="1360"/>
      <c r="F908" s="1358"/>
      <c r="G908" s="1358"/>
      <c r="H908" s="1358"/>
      <c r="I908" s="1361"/>
      <c r="J908" s="1358"/>
      <c r="K908" s="1358"/>
      <c r="L908" s="1365"/>
    </row>
    <row r="909" spans="1:12" s="1347" customFormat="1">
      <c r="A909" s="939"/>
      <c r="B909" s="939"/>
      <c r="C909" s="939"/>
      <c r="D909" s="939"/>
      <c r="E909" s="1360"/>
      <c r="F909" s="1358"/>
      <c r="G909" s="1358"/>
      <c r="H909" s="1358"/>
      <c r="I909" s="1361"/>
      <c r="J909" s="1358"/>
      <c r="K909" s="1358"/>
      <c r="L909" s="1365"/>
    </row>
    <row r="910" spans="1:12" s="1347" customFormat="1">
      <c r="A910" s="939"/>
      <c r="B910" s="939"/>
      <c r="C910" s="939"/>
      <c r="D910" s="939"/>
      <c r="E910" s="1360"/>
      <c r="F910" s="1358"/>
      <c r="G910" s="1358"/>
      <c r="H910" s="1358"/>
      <c r="I910" s="1361"/>
      <c r="J910" s="1358"/>
      <c r="K910" s="1358"/>
      <c r="L910" s="1365"/>
    </row>
    <row r="911" spans="1:12" s="1347" customFormat="1">
      <c r="A911" s="939"/>
      <c r="B911" s="939"/>
      <c r="C911" s="939"/>
      <c r="D911" s="939"/>
      <c r="E911" s="1360"/>
      <c r="F911" s="1358"/>
      <c r="G911" s="1358"/>
      <c r="H911" s="1358"/>
      <c r="I911" s="1361"/>
      <c r="J911" s="1358"/>
      <c r="K911" s="1358"/>
      <c r="L911" s="1365"/>
    </row>
    <row r="912" spans="1:12" s="1347" customFormat="1">
      <c r="A912" s="939"/>
      <c r="B912" s="939"/>
      <c r="C912" s="939"/>
      <c r="D912" s="939"/>
      <c r="E912" s="1360"/>
      <c r="F912" s="1358"/>
      <c r="G912" s="1358"/>
      <c r="H912" s="1358"/>
      <c r="I912" s="1361"/>
      <c r="J912" s="1358"/>
      <c r="K912" s="1358"/>
      <c r="L912" s="1365"/>
    </row>
    <row r="913" spans="1:12" s="1347" customFormat="1">
      <c r="A913" s="939"/>
      <c r="B913" s="939"/>
      <c r="C913" s="939"/>
      <c r="D913" s="939"/>
      <c r="E913" s="1360"/>
      <c r="F913" s="1358"/>
      <c r="G913" s="1358"/>
      <c r="H913" s="1358"/>
      <c r="I913" s="1361"/>
      <c r="J913" s="1358"/>
      <c r="K913" s="1358"/>
      <c r="L913" s="1365"/>
    </row>
    <row r="914" spans="1:12" s="1347" customFormat="1">
      <c r="A914" s="939"/>
      <c r="B914" s="939"/>
      <c r="C914" s="939"/>
      <c r="D914" s="939"/>
      <c r="E914" s="1360"/>
      <c r="F914" s="1358"/>
      <c r="G914" s="1358"/>
      <c r="H914" s="1358"/>
      <c r="I914" s="1361"/>
      <c r="J914" s="1358"/>
      <c r="K914" s="1358"/>
      <c r="L914" s="1365"/>
    </row>
    <row r="915" spans="1:12" s="1347" customFormat="1">
      <c r="A915" s="939"/>
      <c r="B915" s="939"/>
      <c r="C915" s="939"/>
      <c r="D915" s="939"/>
      <c r="E915" s="1360"/>
      <c r="F915" s="1358"/>
      <c r="G915" s="1358"/>
      <c r="H915" s="1358"/>
      <c r="I915" s="1361"/>
      <c r="J915" s="1358"/>
      <c r="K915" s="1358"/>
      <c r="L915" s="1365"/>
    </row>
    <row r="916" spans="1:12" s="1347" customFormat="1">
      <c r="A916" s="939"/>
      <c r="B916" s="939"/>
      <c r="C916" s="939"/>
      <c r="D916" s="939"/>
      <c r="E916" s="1360"/>
      <c r="F916" s="1358"/>
      <c r="G916" s="1358"/>
      <c r="H916" s="1358"/>
      <c r="I916" s="1361"/>
      <c r="J916" s="1358"/>
      <c r="K916" s="1358"/>
      <c r="L916" s="1365"/>
    </row>
    <row r="917" spans="1:12" s="1347" customFormat="1">
      <c r="A917" s="939"/>
      <c r="B917" s="939"/>
      <c r="C917" s="939"/>
      <c r="D917" s="939"/>
      <c r="E917" s="1360"/>
      <c r="F917" s="1358"/>
      <c r="G917" s="1358"/>
      <c r="H917" s="1358"/>
      <c r="I917" s="1361"/>
      <c r="J917" s="1358"/>
      <c r="K917" s="1358"/>
      <c r="L917" s="1365"/>
    </row>
    <row r="918" spans="1:12" s="1347" customFormat="1">
      <c r="A918" s="939"/>
      <c r="B918" s="939"/>
      <c r="C918" s="939"/>
      <c r="D918" s="939"/>
      <c r="E918" s="1360"/>
      <c r="F918" s="1358"/>
      <c r="G918" s="1358"/>
      <c r="H918" s="1358"/>
      <c r="I918" s="1361"/>
      <c r="J918" s="1358"/>
      <c r="K918" s="1358"/>
      <c r="L918" s="1365"/>
    </row>
    <row r="919" spans="1:12" s="1347" customFormat="1">
      <c r="A919" s="939"/>
      <c r="B919" s="939"/>
      <c r="C919" s="939"/>
      <c r="D919" s="939"/>
      <c r="E919" s="1360"/>
      <c r="F919" s="1358"/>
      <c r="G919" s="1358"/>
      <c r="H919" s="1358"/>
      <c r="I919" s="1361"/>
      <c r="J919" s="1358"/>
      <c r="K919" s="1358"/>
      <c r="L919" s="1365"/>
    </row>
    <row r="920" spans="1:12" s="1347" customFormat="1">
      <c r="A920" s="939"/>
      <c r="B920" s="939"/>
      <c r="C920" s="939"/>
      <c r="D920" s="939"/>
      <c r="E920" s="1360"/>
      <c r="F920" s="1358"/>
      <c r="G920" s="1358"/>
      <c r="H920" s="1358"/>
      <c r="I920" s="1361"/>
      <c r="J920" s="1358"/>
      <c r="K920" s="1358"/>
      <c r="L920" s="1365"/>
    </row>
    <row r="921" spans="1:12" s="1347" customFormat="1">
      <c r="A921" s="939"/>
      <c r="B921" s="939"/>
      <c r="C921" s="939"/>
      <c r="D921" s="939"/>
      <c r="E921" s="1360"/>
      <c r="F921" s="1358"/>
      <c r="G921" s="1358"/>
      <c r="H921" s="1358"/>
      <c r="I921" s="1361"/>
      <c r="J921" s="1358"/>
      <c r="K921" s="1358"/>
      <c r="L921" s="1365"/>
    </row>
    <row r="922" spans="1:12" s="1347" customFormat="1">
      <c r="A922" s="939"/>
      <c r="B922" s="939"/>
      <c r="C922" s="939"/>
      <c r="D922" s="939"/>
      <c r="E922" s="1360"/>
      <c r="F922" s="1358"/>
      <c r="G922" s="1358"/>
      <c r="H922" s="1358"/>
      <c r="I922" s="1361"/>
      <c r="J922" s="1358"/>
      <c r="K922" s="1358"/>
      <c r="L922" s="1365"/>
    </row>
    <row r="923" spans="1:12" s="1347" customFormat="1">
      <c r="A923" s="939"/>
      <c r="B923" s="939"/>
      <c r="C923" s="939"/>
      <c r="D923" s="939"/>
      <c r="E923" s="1360"/>
      <c r="F923" s="1358"/>
      <c r="G923" s="1358"/>
      <c r="H923" s="1358"/>
      <c r="I923" s="1361"/>
      <c r="J923" s="1358"/>
      <c r="K923" s="1358"/>
      <c r="L923" s="1365"/>
    </row>
    <row r="924" spans="1:12" s="1347" customFormat="1">
      <c r="A924" s="939"/>
      <c r="B924" s="939"/>
      <c r="C924" s="939"/>
      <c r="D924" s="939"/>
      <c r="E924" s="1360"/>
      <c r="F924" s="1358"/>
      <c r="G924" s="1358"/>
      <c r="H924" s="1358"/>
      <c r="I924" s="1361"/>
      <c r="J924" s="1358"/>
      <c r="K924" s="1358"/>
      <c r="L924" s="1365"/>
    </row>
    <row r="925" spans="1:12" s="1347" customFormat="1">
      <c r="A925" s="939"/>
      <c r="B925" s="939"/>
      <c r="C925" s="939"/>
      <c r="D925" s="939"/>
      <c r="E925" s="1360"/>
      <c r="F925" s="1358"/>
      <c r="G925" s="1358"/>
      <c r="H925" s="1358"/>
      <c r="I925" s="1361"/>
      <c r="J925" s="1358"/>
      <c r="K925" s="1358"/>
      <c r="L925" s="1365"/>
    </row>
    <row r="926" spans="1:12" s="1347" customFormat="1">
      <c r="A926" s="939"/>
      <c r="B926" s="939"/>
      <c r="C926" s="939"/>
      <c r="D926" s="939"/>
      <c r="E926" s="1360"/>
      <c r="F926" s="1358"/>
      <c r="G926" s="1358"/>
      <c r="H926" s="1358"/>
      <c r="I926" s="1361"/>
      <c r="J926" s="1358"/>
      <c r="K926" s="1358"/>
      <c r="L926" s="1365"/>
    </row>
    <row r="927" spans="1:12" s="1347" customFormat="1">
      <c r="A927" s="939"/>
      <c r="B927" s="939"/>
      <c r="C927" s="939"/>
      <c r="D927" s="939"/>
      <c r="E927" s="1360"/>
      <c r="F927" s="1358"/>
      <c r="G927" s="1358"/>
      <c r="H927" s="1358"/>
      <c r="I927" s="1361"/>
      <c r="J927" s="1358"/>
      <c r="K927" s="1358"/>
      <c r="L927" s="1365"/>
    </row>
    <row r="928" spans="1:12" s="1347" customFormat="1">
      <c r="A928" s="939"/>
      <c r="B928" s="939"/>
      <c r="C928" s="939"/>
      <c r="D928" s="939"/>
      <c r="E928" s="1360"/>
      <c r="F928" s="1358"/>
      <c r="G928" s="1358"/>
      <c r="H928" s="1358"/>
      <c r="I928" s="1361"/>
      <c r="J928" s="1358"/>
      <c r="K928" s="1358"/>
      <c r="L928" s="1365"/>
    </row>
    <row r="929" spans="1:12" s="1347" customFormat="1">
      <c r="A929" s="939"/>
      <c r="B929" s="939"/>
      <c r="C929" s="939"/>
      <c r="D929" s="939"/>
      <c r="E929" s="1360"/>
      <c r="F929" s="1358"/>
      <c r="G929" s="1358"/>
      <c r="H929" s="1358"/>
      <c r="I929" s="1361"/>
      <c r="J929" s="1358"/>
      <c r="K929" s="1358"/>
      <c r="L929" s="1365"/>
    </row>
    <row r="930" spans="1:12" s="1347" customFormat="1">
      <c r="A930" s="939"/>
      <c r="B930" s="939"/>
      <c r="C930" s="939"/>
      <c r="D930" s="939"/>
      <c r="E930" s="1360"/>
      <c r="F930" s="1358"/>
      <c r="G930" s="1358"/>
      <c r="H930" s="1358"/>
      <c r="I930" s="1361"/>
      <c r="J930" s="1358"/>
      <c r="K930" s="1358"/>
      <c r="L930" s="1365"/>
    </row>
    <row r="931" spans="1:12" s="1347" customFormat="1">
      <c r="A931" s="939"/>
      <c r="B931" s="939"/>
      <c r="C931" s="939"/>
      <c r="D931" s="939"/>
      <c r="E931" s="1360"/>
      <c r="F931" s="1358"/>
      <c r="G931" s="1358"/>
      <c r="H931" s="1358"/>
      <c r="I931" s="1361"/>
      <c r="J931" s="1358"/>
      <c r="K931" s="1358"/>
      <c r="L931" s="1365"/>
    </row>
    <row r="932" spans="1:12" s="1347" customFormat="1">
      <c r="A932" s="939"/>
      <c r="B932" s="939"/>
      <c r="C932" s="939"/>
      <c r="D932" s="939"/>
      <c r="E932" s="1360"/>
      <c r="F932" s="1358"/>
      <c r="G932" s="1358"/>
      <c r="H932" s="1358"/>
      <c r="I932" s="1361"/>
      <c r="J932" s="1358"/>
      <c r="K932" s="1358"/>
      <c r="L932" s="1365"/>
    </row>
    <row r="933" spans="1:12" s="1347" customFormat="1">
      <c r="A933" s="939"/>
      <c r="B933" s="939"/>
      <c r="C933" s="939"/>
      <c r="D933" s="939"/>
      <c r="E933" s="1360"/>
      <c r="F933" s="1358"/>
      <c r="G933" s="1358"/>
      <c r="H933" s="1358"/>
      <c r="I933" s="1361"/>
      <c r="J933" s="1358"/>
      <c r="K933" s="1358"/>
      <c r="L933" s="1365"/>
    </row>
    <row r="934" spans="1:12" s="1347" customFormat="1">
      <c r="A934" s="939"/>
      <c r="B934" s="939"/>
      <c r="C934" s="939"/>
      <c r="D934" s="939"/>
      <c r="E934" s="1360"/>
      <c r="F934" s="1358"/>
      <c r="G934" s="1358"/>
      <c r="H934" s="1358"/>
      <c r="I934" s="1361"/>
      <c r="J934" s="1358"/>
      <c r="K934" s="1358"/>
      <c r="L934" s="1365"/>
    </row>
    <row r="935" spans="1:12" s="1347" customFormat="1">
      <c r="A935" s="939"/>
      <c r="B935" s="939"/>
      <c r="C935" s="939"/>
      <c r="D935" s="939"/>
      <c r="E935" s="1360"/>
      <c r="F935" s="1358"/>
      <c r="G935" s="1358"/>
      <c r="H935" s="1358"/>
      <c r="I935" s="1361"/>
      <c r="J935" s="1358"/>
      <c r="K935" s="1358"/>
      <c r="L935" s="1365"/>
    </row>
    <row r="936" spans="1:12" s="1347" customFormat="1">
      <c r="A936" s="939"/>
      <c r="B936" s="939"/>
      <c r="C936" s="939"/>
      <c r="D936" s="939"/>
      <c r="E936" s="1360"/>
      <c r="F936" s="1358"/>
      <c r="G936" s="1358"/>
      <c r="H936" s="1358"/>
      <c r="I936" s="1361"/>
      <c r="J936" s="1358"/>
      <c r="K936" s="1358"/>
      <c r="L936" s="1365"/>
    </row>
    <row r="937" spans="1:12" s="1347" customFormat="1">
      <c r="A937" s="939"/>
      <c r="B937" s="939"/>
      <c r="C937" s="939"/>
      <c r="D937" s="939"/>
      <c r="E937" s="1360"/>
      <c r="F937" s="1358"/>
      <c r="G937" s="1358"/>
      <c r="H937" s="1358"/>
      <c r="I937" s="1361"/>
      <c r="J937" s="1358"/>
      <c r="K937" s="1358"/>
      <c r="L937" s="1365"/>
    </row>
    <row r="938" spans="1:12" s="1347" customFormat="1">
      <c r="A938" s="939"/>
      <c r="B938" s="939"/>
      <c r="C938" s="939"/>
      <c r="D938" s="939"/>
      <c r="E938" s="1360"/>
      <c r="F938" s="1358"/>
      <c r="G938" s="1358"/>
      <c r="H938" s="1358"/>
      <c r="I938" s="1361"/>
      <c r="J938" s="1358"/>
      <c r="K938" s="1358"/>
      <c r="L938" s="1365"/>
    </row>
    <row r="939" spans="1:12" s="1347" customFormat="1">
      <c r="A939" s="939"/>
      <c r="B939" s="939"/>
      <c r="C939" s="939"/>
      <c r="D939" s="939"/>
      <c r="E939" s="1360"/>
      <c r="F939" s="1358"/>
      <c r="G939" s="1358"/>
      <c r="H939" s="1358"/>
      <c r="I939" s="1361"/>
      <c r="J939" s="1358"/>
      <c r="K939" s="1358"/>
      <c r="L939" s="1365"/>
    </row>
    <row r="940" spans="1:12" s="1347" customFormat="1">
      <c r="A940" s="939"/>
      <c r="B940" s="939"/>
      <c r="C940" s="939"/>
      <c r="D940" s="939"/>
      <c r="E940" s="1360"/>
      <c r="F940" s="1358"/>
      <c r="G940" s="1358"/>
      <c r="H940" s="1358"/>
      <c r="I940" s="1361"/>
      <c r="J940" s="1358"/>
      <c r="K940" s="1358"/>
      <c r="L940" s="1365"/>
    </row>
    <row r="941" spans="1:12" s="1347" customFormat="1">
      <c r="A941" s="939"/>
      <c r="B941" s="939"/>
      <c r="C941" s="939"/>
      <c r="D941" s="939"/>
      <c r="E941" s="1360"/>
      <c r="F941" s="1358"/>
      <c r="G941" s="1358"/>
      <c r="H941" s="1358"/>
      <c r="I941" s="1361"/>
      <c r="J941" s="1358"/>
      <c r="K941" s="1358"/>
      <c r="L941" s="1365"/>
    </row>
    <row r="942" spans="1:12" s="1347" customFormat="1">
      <c r="A942" s="939"/>
      <c r="B942" s="939"/>
      <c r="C942" s="939"/>
      <c r="D942" s="939"/>
      <c r="E942" s="1360"/>
      <c r="F942" s="1358"/>
      <c r="G942" s="1358"/>
      <c r="H942" s="1358"/>
      <c r="I942" s="1361"/>
      <c r="J942" s="1358"/>
      <c r="K942" s="1358"/>
      <c r="L942" s="1365"/>
    </row>
    <row r="943" spans="1:12" s="1347" customFormat="1">
      <c r="A943" s="939"/>
      <c r="B943" s="939"/>
      <c r="C943" s="939"/>
      <c r="D943" s="939"/>
      <c r="E943" s="1360"/>
      <c r="F943" s="1358"/>
      <c r="G943" s="1358"/>
      <c r="H943" s="1358"/>
      <c r="I943" s="1361"/>
      <c r="J943" s="1358"/>
      <c r="K943" s="1358"/>
      <c r="L943" s="1365"/>
    </row>
    <row r="944" spans="1:12" s="1347" customFormat="1">
      <c r="A944" s="939"/>
      <c r="B944" s="939"/>
      <c r="C944" s="939"/>
      <c r="D944" s="939"/>
      <c r="E944" s="1360"/>
      <c r="F944" s="1358"/>
      <c r="G944" s="1358"/>
      <c r="H944" s="1358"/>
      <c r="I944" s="1361"/>
      <c r="J944" s="1358"/>
      <c r="K944" s="1358"/>
      <c r="L944" s="1365"/>
    </row>
    <row r="945" spans="1:12" s="1347" customFormat="1">
      <c r="A945" s="939"/>
      <c r="B945" s="939"/>
      <c r="C945" s="939"/>
      <c r="D945" s="939"/>
      <c r="E945" s="1360"/>
      <c r="F945" s="1358"/>
      <c r="G945" s="1358"/>
      <c r="H945" s="1358"/>
      <c r="I945" s="1361"/>
      <c r="J945" s="1358"/>
      <c r="K945" s="1358"/>
      <c r="L945" s="1365"/>
    </row>
    <row r="946" spans="1:12" s="1347" customFormat="1">
      <c r="A946" s="939"/>
      <c r="B946" s="939"/>
      <c r="C946" s="939"/>
      <c r="D946" s="939"/>
      <c r="E946" s="1360"/>
      <c r="F946" s="1358"/>
      <c r="G946" s="1358"/>
      <c r="H946" s="1358"/>
      <c r="I946" s="1361"/>
      <c r="J946" s="1358"/>
      <c r="K946" s="1358"/>
      <c r="L946" s="1365"/>
    </row>
    <row r="947" spans="1:12" s="1347" customFormat="1">
      <c r="A947" s="939"/>
      <c r="B947" s="939"/>
      <c r="C947" s="939"/>
      <c r="D947" s="939"/>
      <c r="E947" s="1360"/>
      <c r="F947" s="1358"/>
      <c r="G947" s="1358"/>
      <c r="H947" s="1358"/>
      <c r="I947" s="1361"/>
      <c r="J947" s="1358"/>
      <c r="K947" s="1358"/>
      <c r="L947" s="1365"/>
    </row>
    <row r="948" spans="1:12" s="1347" customFormat="1">
      <c r="A948" s="939"/>
      <c r="B948" s="939"/>
      <c r="C948" s="939"/>
      <c r="D948" s="939"/>
      <c r="E948" s="1360"/>
      <c r="F948" s="1358"/>
      <c r="G948" s="1358"/>
      <c r="H948" s="1358"/>
      <c r="I948" s="1361"/>
      <c r="J948" s="1358"/>
      <c r="K948" s="1358"/>
      <c r="L948" s="1365"/>
    </row>
    <row r="949" spans="1:12" s="1347" customFormat="1">
      <c r="A949" s="939"/>
      <c r="B949" s="939"/>
      <c r="C949" s="939"/>
      <c r="D949" s="939"/>
      <c r="E949" s="1360"/>
      <c r="F949" s="1358"/>
      <c r="G949" s="1358"/>
      <c r="H949" s="1358"/>
      <c r="I949" s="1361"/>
      <c r="J949" s="1358"/>
      <c r="K949" s="1358"/>
      <c r="L949" s="1365"/>
    </row>
    <row r="950" spans="1:12" s="1347" customFormat="1">
      <c r="A950" s="939"/>
      <c r="B950" s="939"/>
      <c r="C950" s="939"/>
      <c r="D950" s="939"/>
      <c r="E950" s="1360"/>
      <c r="F950" s="1358"/>
      <c r="G950" s="1358"/>
      <c r="H950" s="1358"/>
      <c r="I950" s="1361"/>
      <c r="J950" s="1358"/>
      <c r="K950" s="1358"/>
      <c r="L950" s="1365"/>
    </row>
    <row r="951" spans="1:12" s="1347" customFormat="1">
      <c r="A951" s="939"/>
      <c r="B951" s="939"/>
      <c r="C951" s="939"/>
      <c r="D951" s="939"/>
      <c r="E951" s="1360"/>
      <c r="F951" s="1358"/>
      <c r="G951" s="1358"/>
      <c r="H951" s="1358"/>
      <c r="I951" s="1361"/>
      <c r="J951" s="1358"/>
      <c r="K951" s="1358"/>
      <c r="L951" s="1365"/>
    </row>
    <row r="952" spans="1:12" s="1347" customFormat="1">
      <c r="A952" s="939"/>
      <c r="B952" s="939"/>
      <c r="C952" s="939"/>
      <c r="D952" s="939"/>
      <c r="E952" s="1360"/>
      <c r="F952" s="1358"/>
      <c r="G952" s="1358"/>
      <c r="H952" s="1358"/>
      <c r="I952" s="1361"/>
      <c r="J952" s="1358"/>
      <c r="K952" s="1358"/>
      <c r="L952" s="1365"/>
    </row>
    <row r="953" spans="1:12" s="1347" customFormat="1">
      <c r="A953" s="939"/>
      <c r="B953" s="939"/>
      <c r="C953" s="939"/>
      <c r="D953" s="939"/>
      <c r="E953" s="1360"/>
      <c r="F953" s="1358"/>
      <c r="G953" s="1358"/>
      <c r="H953" s="1358"/>
      <c r="I953" s="1361"/>
      <c r="J953" s="1358"/>
      <c r="K953" s="1358"/>
      <c r="L953" s="1365"/>
    </row>
    <row r="954" spans="1:12" s="1347" customFormat="1">
      <c r="A954" s="939"/>
      <c r="B954" s="939"/>
      <c r="C954" s="939"/>
      <c r="D954" s="939"/>
      <c r="E954" s="1360"/>
      <c r="F954" s="1358"/>
      <c r="G954" s="1358"/>
      <c r="H954" s="1358"/>
      <c r="I954" s="1361"/>
      <c r="J954" s="1358"/>
      <c r="K954" s="1358"/>
      <c r="L954" s="1365"/>
    </row>
    <row r="955" spans="1:12" s="1347" customFormat="1">
      <c r="A955" s="939"/>
      <c r="B955" s="939"/>
      <c r="C955" s="939"/>
      <c r="D955" s="939"/>
      <c r="E955" s="1360"/>
      <c r="F955" s="1358"/>
      <c r="G955" s="1358"/>
      <c r="H955" s="1358"/>
      <c r="I955" s="1361"/>
      <c r="J955" s="1358"/>
      <c r="K955" s="1358"/>
      <c r="L955" s="1365"/>
    </row>
    <row r="956" spans="1:12" s="1347" customFormat="1">
      <c r="A956" s="939"/>
      <c r="B956" s="939"/>
      <c r="C956" s="939"/>
      <c r="D956" s="939"/>
      <c r="E956" s="1360"/>
      <c r="F956" s="1358"/>
      <c r="G956" s="1358"/>
      <c r="H956" s="1358"/>
      <c r="I956" s="1361"/>
      <c r="J956" s="1358"/>
      <c r="K956" s="1358"/>
      <c r="L956" s="1365"/>
    </row>
    <row r="957" spans="1:12" s="1347" customFormat="1">
      <c r="A957" s="939"/>
      <c r="B957" s="939"/>
      <c r="C957" s="939"/>
      <c r="D957" s="939"/>
      <c r="E957" s="1360"/>
      <c r="F957" s="1358"/>
      <c r="G957" s="1358"/>
      <c r="H957" s="1358"/>
      <c r="I957" s="1361"/>
      <c r="J957" s="1358"/>
      <c r="K957" s="1358"/>
      <c r="L957" s="1365"/>
    </row>
    <row r="958" spans="1:12" s="1347" customFormat="1">
      <c r="A958" s="939"/>
      <c r="B958" s="939"/>
      <c r="C958" s="939"/>
      <c r="D958" s="939"/>
      <c r="E958" s="1360"/>
      <c r="F958" s="1358"/>
      <c r="G958" s="1358"/>
      <c r="H958" s="1358"/>
      <c r="I958" s="1361"/>
      <c r="J958" s="1358"/>
      <c r="K958" s="1358"/>
      <c r="L958" s="1365"/>
    </row>
    <row r="959" spans="1:12" s="1347" customFormat="1">
      <c r="A959" s="939"/>
      <c r="B959" s="939"/>
      <c r="C959" s="939"/>
      <c r="D959" s="939"/>
      <c r="E959" s="1360"/>
      <c r="F959" s="1358"/>
      <c r="G959" s="1358"/>
      <c r="H959" s="1358"/>
      <c r="I959" s="1361"/>
      <c r="J959" s="1358"/>
      <c r="K959" s="1358"/>
      <c r="L959" s="1365"/>
    </row>
    <row r="960" spans="1:12" s="1347" customFormat="1">
      <c r="A960" s="939"/>
      <c r="B960" s="939"/>
      <c r="C960" s="939"/>
      <c r="D960" s="939"/>
      <c r="E960" s="1360"/>
      <c r="F960" s="1358"/>
      <c r="G960" s="1358"/>
      <c r="H960" s="1358"/>
      <c r="I960" s="1361"/>
      <c r="J960" s="1358"/>
      <c r="K960" s="1358"/>
      <c r="L960" s="1365"/>
    </row>
    <row r="961" spans="1:12" s="1347" customFormat="1">
      <c r="A961" s="939"/>
      <c r="B961" s="939"/>
      <c r="C961" s="939"/>
      <c r="D961" s="939"/>
      <c r="E961" s="1360"/>
      <c r="F961" s="1358"/>
      <c r="G961" s="1358"/>
      <c r="H961" s="1358"/>
      <c r="I961" s="1361"/>
      <c r="J961" s="1358"/>
      <c r="K961" s="1358"/>
      <c r="L961" s="1365"/>
    </row>
    <row r="962" spans="1:12" s="1347" customFormat="1">
      <c r="A962" s="939"/>
      <c r="B962" s="939"/>
      <c r="C962" s="939"/>
      <c r="D962" s="939"/>
      <c r="E962" s="1360"/>
      <c r="F962" s="1358"/>
      <c r="G962" s="1358"/>
      <c r="H962" s="1358"/>
      <c r="I962" s="1361"/>
      <c r="J962" s="1358"/>
      <c r="K962" s="1358"/>
      <c r="L962" s="1365"/>
    </row>
    <row r="963" spans="1:12" s="1347" customFormat="1">
      <c r="A963" s="939"/>
      <c r="B963" s="939"/>
      <c r="C963" s="939"/>
      <c r="D963" s="939"/>
      <c r="E963" s="1360"/>
      <c r="F963" s="1358"/>
      <c r="G963" s="1358"/>
      <c r="H963" s="1358"/>
      <c r="I963" s="1361"/>
      <c r="J963" s="1358"/>
      <c r="K963" s="1358"/>
      <c r="L963" s="1365"/>
    </row>
    <row r="964" spans="1:12" s="1347" customFormat="1">
      <c r="A964" s="939"/>
      <c r="B964" s="939"/>
      <c r="C964" s="939"/>
      <c r="D964" s="939"/>
      <c r="E964" s="1360"/>
      <c r="F964" s="1358"/>
      <c r="G964" s="1358"/>
      <c r="H964" s="1358"/>
      <c r="I964" s="1361"/>
      <c r="J964" s="1358"/>
      <c r="K964" s="1358"/>
      <c r="L964" s="1365"/>
    </row>
    <row r="965" spans="1:12" s="1347" customFormat="1">
      <c r="A965" s="939"/>
      <c r="B965" s="939"/>
      <c r="C965" s="939"/>
      <c r="D965" s="939"/>
      <c r="E965" s="1360"/>
      <c r="F965" s="1358"/>
      <c r="G965" s="1358"/>
      <c r="H965" s="1358"/>
      <c r="I965" s="1361"/>
      <c r="J965" s="1358"/>
      <c r="K965" s="1358"/>
      <c r="L965" s="1365"/>
    </row>
    <row r="966" spans="1:12" s="1347" customFormat="1">
      <c r="A966" s="939"/>
      <c r="B966" s="939"/>
      <c r="C966" s="939"/>
      <c r="D966" s="939"/>
      <c r="E966" s="1360"/>
      <c r="F966" s="1358"/>
      <c r="G966" s="1358"/>
      <c r="H966" s="1358"/>
      <c r="I966" s="1361"/>
      <c r="J966" s="1358"/>
      <c r="K966" s="1358"/>
      <c r="L966" s="1365"/>
    </row>
    <row r="967" spans="1:12" s="1347" customFormat="1">
      <c r="A967" s="939"/>
      <c r="B967" s="939"/>
      <c r="C967" s="939"/>
      <c r="D967" s="939"/>
      <c r="E967" s="1360"/>
      <c r="F967" s="1358"/>
      <c r="G967" s="1358"/>
      <c r="H967" s="1358"/>
      <c r="I967" s="1361"/>
      <c r="J967" s="1358"/>
      <c r="K967" s="1358"/>
      <c r="L967" s="1365"/>
    </row>
    <row r="968" spans="1:12" s="1347" customFormat="1">
      <c r="A968" s="939"/>
      <c r="B968" s="939"/>
      <c r="C968" s="939"/>
      <c r="D968" s="939"/>
      <c r="E968" s="1360"/>
      <c r="F968" s="1358"/>
      <c r="G968" s="1358"/>
      <c r="H968" s="1358"/>
      <c r="I968" s="1361"/>
      <c r="J968" s="1358"/>
      <c r="K968" s="1358"/>
      <c r="L968" s="1365"/>
    </row>
    <row r="969" spans="1:12" s="1347" customFormat="1">
      <c r="A969" s="939"/>
      <c r="B969" s="939"/>
      <c r="C969" s="939"/>
      <c r="D969" s="939"/>
      <c r="E969" s="1360"/>
      <c r="F969" s="1358"/>
      <c r="G969" s="1358"/>
      <c r="H969" s="1358"/>
      <c r="I969" s="1361"/>
      <c r="J969" s="1358"/>
      <c r="K969" s="1358"/>
      <c r="L969" s="1365"/>
    </row>
    <row r="970" spans="1:12" s="1347" customFormat="1">
      <c r="A970" s="939"/>
      <c r="B970" s="939"/>
      <c r="C970" s="939"/>
      <c r="D970" s="939"/>
      <c r="E970" s="1360"/>
      <c r="F970" s="1358"/>
      <c r="G970" s="1358"/>
      <c r="H970" s="1358"/>
      <c r="I970" s="1361"/>
      <c r="J970" s="1358"/>
      <c r="K970" s="1358"/>
      <c r="L970" s="1365"/>
    </row>
    <row r="971" spans="1:12" s="1347" customFormat="1">
      <c r="A971" s="939"/>
      <c r="B971" s="939"/>
      <c r="C971" s="939"/>
      <c r="D971" s="939"/>
      <c r="E971" s="1360"/>
      <c r="F971" s="1358"/>
      <c r="G971" s="1358"/>
      <c r="H971" s="1358"/>
      <c r="I971" s="1361"/>
      <c r="J971" s="1358"/>
      <c r="K971" s="1358"/>
      <c r="L971" s="1365"/>
    </row>
    <row r="972" spans="1:12" s="1347" customFormat="1">
      <c r="A972" s="939"/>
      <c r="B972" s="939"/>
      <c r="C972" s="939"/>
      <c r="D972" s="939"/>
      <c r="E972" s="1360"/>
      <c r="F972" s="1358"/>
      <c r="G972" s="1358"/>
      <c r="H972" s="1358"/>
      <c r="I972" s="1361"/>
      <c r="J972" s="1358"/>
      <c r="K972" s="1358"/>
      <c r="L972" s="1365"/>
    </row>
    <row r="973" spans="1:12" s="1347" customFormat="1">
      <c r="A973" s="939"/>
      <c r="B973" s="939"/>
      <c r="C973" s="939"/>
      <c r="D973" s="939"/>
      <c r="E973" s="1360"/>
      <c r="F973" s="1358"/>
      <c r="G973" s="1358"/>
      <c r="H973" s="1358"/>
      <c r="I973" s="1361"/>
      <c r="J973" s="1358"/>
      <c r="K973" s="1358"/>
      <c r="L973" s="1365"/>
    </row>
    <row r="974" spans="1:12" s="1347" customFormat="1">
      <c r="A974" s="939"/>
      <c r="B974" s="939"/>
      <c r="C974" s="939"/>
      <c r="D974" s="939"/>
      <c r="E974" s="1360"/>
      <c r="F974" s="1358"/>
      <c r="G974" s="1358"/>
      <c r="H974" s="1358"/>
      <c r="I974" s="1361"/>
      <c r="J974" s="1358"/>
      <c r="K974" s="1358"/>
      <c r="L974" s="1365"/>
    </row>
    <row r="975" spans="1:12" s="1347" customFormat="1">
      <c r="A975" s="939"/>
      <c r="B975" s="939"/>
      <c r="C975" s="939"/>
      <c r="D975" s="939"/>
      <c r="E975" s="1360"/>
      <c r="F975" s="1358"/>
      <c r="G975" s="1358"/>
      <c r="H975" s="1358"/>
      <c r="I975" s="1361"/>
      <c r="J975" s="1358"/>
      <c r="K975" s="1358"/>
      <c r="L975" s="1365"/>
    </row>
    <row r="976" spans="1:12" s="1347" customFormat="1">
      <c r="A976" s="939"/>
      <c r="B976" s="939"/>
      <c r="C976" s="939"/>
      <c r="D976" s="939"/>
      <c r="E976" s="1360"/>
      <c r="F976" s="1358"/>
      <c r="G976" s="1358"/>
      <c r="H976" s="1358"/>
      <c r="I976" s="1361"/>
      <c r="J976" s="1358"/>
      <c r="K976" s="1358"/>
      <c r="L976" s="1365"/>
    </row>
    <row r="977" spans="1:12" s="1347" customFormat="1">
      <c r="A977" s="939"/>
      <c r="B977" s="939"/>
      <c r="C977" s="939"/>
      <c r="D977" s="939"/>
      <c r="E977" s="1360"/>
      <c r="F977" s="1358"/>
      <c r="G977" s="1358"/>
      <c r="H977" s="1358"/>
      <c r="I977" s="1361"/>
      <c r="J977" s="1358"/>
      <c r="K977" s="1358"/>
      <c r="L977" s="1365"/>
    </row>
    <row r="978" spans="1:12" s="1347" customFormat="1">
      <c r="A978" s="939"/>
      <c r="B978" s="939"/>
      <c r="C978" s="939"/>
      <c r="D978" s="939"/>
      <c r="E978" s="1360"/>
      <c r="F978" s="1358"/>
      <c r="G978" s="1358"/>
      <c r="H978" s="1358"/>
      <c r="I978" s="1361"/>
      <c r="J978" s="1358"/>
      <c r="K978" s="1358"/>
      <c r="L978" s="1365"/>
    </row>
    <row r="979" spans="1:12" s="1347" customFormat="1">
      <c r="A979" s="939"/>
      <c r="B979" s="939"/>
      <c r="C979" s="939"/>
      <c r="D979" s="939"/>
      <c r="E979" s="1360"/>
      <c r="F979" s="1358"/>
      <c r="G979" s="1358"/>
      <c r="H979" s="1358"/>
      <c r="I979" s="1361"/>
      <c r="J979" s="1358"/>
      <c r="K979" s="1358"/>
      <c r="L979" s="1365"/>
    </row>
    <row r="980" spans="1:12" s="1347" customFormat="1">
      <c r="A980" s="939"/>
      <c r="B980" s="939"/>
      <c r="C980" s="939"/>
      <c r="D980" s="939"/>
      <c r="E980" s="1360"/>
      <c r="F980" s="1358"/>
      <c r="G980" s="1358"/>
      <c r="H980" s="1358"/>
      <c r="I980" s="1361"/>
      <c r="J980" s="1358"/>
      <c r="K980" s="1358"/>
      <c r="L980" s="1365"/>
    </row>
    <row r="981" spans="1:12" s="1347" customFormat="1">
      <c r="A981" s="939"/>
      <c r="B981" s="939"/>
      <c r="C981" s="939"/>
      <c r="D981" s="939"/>
      <c r="E981" s="1360"/>
      <c r="F981" s="1358"/>
      <c r="G981" s="1358"/>
      <c r="H981" s="1358"/>
      <c r="I981" s="1361"/>
      <c r="J981" s="1358"/>
      <c r="K981" s="1358"/>
      <c r="L981" s="1365"/>
    </row>
    <row r="982" spans="1:12" s="1347" customFormat="1">
      <c r="A982" s="939"/>
      <c r="B982" s="939"/>
      <c r="C982" s="939"/>
      <c r="D982" s="939"/>
      <c r="E982" s="1360"/>
      <c r="F982" s="1358"/>
      <c r="G982" s="1358"/>
      <c r="H982" s="1358"/>
      <c r="I982" s="1361"/>
      <c r="J982" s="1358"/>
      <c r="K982" s="1358"/>
      <c r="L982" s="1365"/>
    </row>
    <row r="983" spans="1:12" s="1347" customFormat="1">
      <c r="A983" s="939"/>
      <c r="B983" s="939"/>
      <c r="C983" s="939"/>
      <c r="D983" s="939"/>
      <c r="E983" s="1360"/>
      <c r="F983" s="1358"/>
      <c r="G983" s="1358"/>
      <c r="H983" s="1358"/>
      <c r="I983" s="1361"/>
      <c r="J983" s="1358"/>
      <c r="K983" s="1358"/>
      <c r="L983" s="1365"/>
    </row>
    <row r="984" spans="1:12" s="1347" customFormat="1">
      <c r="A984" s="939"/>
      <c r="B984" s="939"/>
      <c r="C984" s="939"/>
      <c r="D984" s="939"/>
      <c r="E984" s="1360"/>
      <c r="F984" s="1358"/>
      <c r="G984" s="1358"/>
      <c r="H984" s="1358"/>
      <c r="I984" s="1361"/>
      <c r="J984" s="1358"/>
      <c r="K984" s="1358"/>
      <c r="L984" s="1365"/>
    </row>
    <row r="985" spans="1:12" s="1347" customFormat="1">
      <c r="A985" s="939"/>
      <c r="B985" s="939"/>
      <c r="C985" s="939"/>
      <c r="D985" s="939"/>
      <c r="E985" s="1360"/>
      <c r="F985" s="1358"/>
      <c r="G985" s="1358"/>
      <c r="H985" s="1358"/>
      <c r="I985" s="1361"/>
      <c r="J985" s="1358"/>
      <c r="K985" s="1358"/>
      <c r="L985" s="1365"/>
    </row>
    <row r="986" spans="1:12" s="1347" customFormat="1">
      <c r="A986" s="939"/>
      <c r="B986" s="939"/>
      <c r="C986" s="939"/>
      <c r="D986" s="939"/>
      <c r="E986" s="1360"/>
      <c r="F986" s="1358"/>
      <c r="G986" s="1358"/>
      <c r="H986" s="1358"/>
      <c r="I986" s="1361"/>
      <c r="J986" s="1358"/>
      <c r="K986" s="1358"/>
      <c r="L986" s="1365"/>
    </row>
    <row r="987" spans="1:12" s="1347" customFormat="1">
      <c r="A987" s="939"/>
      <c r="B987" s="939"/>
      <c r="C987" s="939"/>
      <c r="D987" s="939"/>
      <c r="E987" s="1360"/>
      <c r="F987" s="1358"/>
      <c r="G987" s="1358"/>
      <c r="H987" s="1358"/>
      <c r="I987" s="1361"/>
      <c r="J987" s="1358"/>
      <c r="K987" s="1358"/>
      <c r="L987" s="1365"/>
    </row>
    <row r="988" spans="1:12" s="1347" customFormat="1">
      <c r="A988" s="939"/>
      <c r="B988" s="939"/>
      <c r="C988" s="939"/>
      <c r="D988" s="939"/>
      <c r="E988" s="1360"/>
      <c r="F988" s="1358"/>
      <c r="G988" s="1358"/>
      <c r="H988" s="1358"/>
      <c r="I988" s="1361"/>
      <c r="J988" s="1358"/>
      <c r="K988" s="1358"/>
      <c r="L988" s="1365"/>
    </row>
    <row r="989" spans="1:12" s="1347" customFormat="1">
      <c r="A989" s="939"/>
      <c r="B989" s="939"/>
      <c r="C989" s="939"/>
      <c r="D989" s="939"/>
      <c r="E989" s="1360"/>
      <c r="F989" s="1358"/>
      <c r="G989" s="1358"/>
      <c r="H989" s="1358"/>
      <c r="I989" s="1361"/>
      <c r="J989" s="1358"/>
      <c r="K989" s="1358"/>
      <c r="L989" s="1365"/>
    </row>
    <row r="990" spans="1:12" s="1347" customFormat="1">
      <c r="A990" s="939"/>
      <c r="B990" s="939"/>
      <c r="C990" s="939"/>
      <c r="D990" s="939"/>
      <c r="E990" s="1360"/>
      <c r="F990" s="1358"/>
      <c r="G990" s="1358"/>
      <c r="H990" s="1358"/>
      <c r="I990" s="1361"/>
      <c r="J990" s="1358"/>
      <c r="K990" s="1358"/>
      <c r="L990" s="1365"/>
    </row>
    <row r="991" spans="1:12" s="1347" customFormat="1">
      <c r="A991" s="939"/>
      <c r="B991" s="939"/>
      <c r="C991" s="939"/>
      <c r="D991" s="939"/>
      <c r="E991" s="1360"/>
      <c r="F991" s="1358"/>
      <c r="G991" s="1358"/>
      <c r="H991" s="1358"/>
      <c r="I991" s="1361"/>
      <c r="J991" s="1358"/>
      <c r="K991" s="1358"/>
      <c r="L991" s="1365"/>
    </row>
    <row r="992" spans="1:12" s="1347" customFormat="1">
      <c r="A992" s="939"/>
      <c r="B992" s="939"/>
      <c r="C992" s="939"/>
      <c r="D992" s="939"/>
      <c r="E992" s="1360"/>
      <c r="F992" s="1358"/>
      <c r="G992" s="1358"/>
      <c r="H992" s="1358"/>
      <c r="I992" s="1361"/>
      <c r="J992" s="1358"/>
      <c r="K992" s="1358"/>
      <c r="L992" s="1365"/>
    </row>
    <row r="993" spans="1:12" s="1347" customFormat="1">
      <c r="A993" s="939"/>
      <c r="B993" s="939"/>
      <c r="C993" s="939"/>
      <c r="D993" s="939"/>
      <c r="E993" s="1360"/>
      <c r="F993" s="1358"/>
      <c r="G993" s="1358"/>
      <c r="H993" s="1358"/>
      <c r="I993" s="1361"/>
      <c r="J993" s="1358"/>
      <c r="K993" s="1358"/>
      <c r="L993" s="1365"/>
    </row>
    <row r="994" spans="1:12" s="1347" customFormat="1">
      <c r="A994" s="939"/>
      <c r="B994" s="939"/>
      <c r="C994" s="939"/>
      <c r="D994" s="939"/>
      <c r="E994" s="1360"/>
      <c r="F994" s="1358"/>
      <c r="G994" s="1358"/>
      <c r="H994" s="1358"/>
      <c r="I994" s="1361"/>
      <c r="J994" s="1358"/>
      <c r="K994" s="1358"/>
      <c r="L994" s="1365"/>
    </row>
    <row r="995" spans="1:12" s="1347" customFormat="1">
      <c r="A995" s="939"/>
      <c r="B995" s="939"/>
      <c r="C995" s="939"/>
      <c r="D995" s="939"/>
      <c r="E995" s="1360"/>
      <c r="F995" s="1358"/>
      <c r="G995" s="1358"/>
      <c r="H995" s="1358"/>
      <c r="I995" s="1361"/>
      <c r="J995" s="1358"/>
      <c r="K995" s="1358"/>
      <c r="L995" s="1365"/>
    </row>
    <row r="996" spans="1:12" s="1347" customFormat="1">
      <c r="A996" s="939"/>
      <c r="B996" s="939"/>
      <c r="C996" s="939"/>
      <c r="D996" s="939"/>
      <c r="E996" s="1360"/>
      <c r="F996" s="1358"/>
      <c r="G996" s="1358"/>
      <c r="H996" s="1358"/>
      <c r="I996" s="1361"/>
      <c r="J996" s="1358"/>
      <c r="K996" s="1358"/>
      <c r="L996" s="1365"/>
    </row>
    <row r="997" spans="1:12" s="1347" customFormat="1">
      <c r="A997" s="939"/>
      <c r="B997" s="939"/>
      <c r="C997" s="939"/>
      <c r="D997" s="939"/>
      <c r="E997" s="1360"/>
      <c r="F997" s="1358"/>
      <c r="G997" s="1358"/>
      <c r="H997" s="1358"/>
      <c r="I997" s="1361"/>
      <c r="J997" s="1358"/>
      <c r="K997" s="1358"/>
      <c r="L997" s="1365"/>
    </row>
    <row r="998" spans="1:12" s="1347" customFormat="1">
      <c r="A998" s="939"/>
      <c r="B998" s="939"/>
      <c r="C998" s="939"/>
      <c r="D998" s="939"/>
      <c r="E998" s="1360"/>
      <c r="F998" s="1358"/>
      <c r="G998" s="1358"/>
      <c r="H998" s="1358"/>
      <c r="I998" s="1361"/>
      <c r="J998" s="1358"/>
      <c r="K998" s="1358"/>
      <c r="L998" s="1365"/>
    </row>
    <row r="999" spans="1:12" s="1347" customFormat="1">
      <c r="A999" s="939"/>
      <c r="B999" s="939"/>
      <c r="C999" s="939"/>
      <c r="D999" s="939"/>
      <c r="E999" s="1360"/>
      <c r="F999" s="1358"/>
      <c r="G999" s="1358"/>
      <c r="H999" s="1358"/>
      <c r="I999" s="1361"/>
      <c r="J999" s="1358"/>
      <c r="K999" s="1358"/>
      <c r="L999" s="1365"/>
    </row>
    <row r="1000" spans="1:12" s="1347" customFormat="1">
      <c r="A1000" s="939"/>
      <c r="B1000" s="939"/>
      <c r="C1000" s="939"/>
      <c r="D1000" s="939"/>
      <c r="E1000" s="1360"/>
      <c r="F1000" s="1358"/>
      <c r="G1000" s="1358"/>
      <c r="H1000" s="1358"/>
      <c r="I1000" s="1361"/>
      <c r="J1000" s="1358"/>
      <c r="K1000" s="1358"/>
      <c r="L1000" s="1365"/>
    </row>
    <row r="1001" spans="1:12" s="1347" customFormat="1">
      <c r="A1001" s="939"/>
      <c r="B1001" s="939"/>
      <c r="C1001" s="939"/>
      <c r="D1001" s="939"/>
      <c r="E1001" s="1360"/>
      <c r="F1001" s="1358"/>
      <c r="G1001" s="1358"/>
      <c r="H1001" s="1358"/>
      <c r="I1001" s="1361"/>
      <c r="J1001" s="1358"/>
      <c r="K1001" s="1358"/>
      <c r="L1001" s="1365"/>
    </row>
    <row r="1002" spans="1:12" s="1347" customFormat="1">
      <c r="A1002" s="939"/>
      <c r="B1002" s="939"/>
      <c r="C1002" s="939"/>
      <c r="D1002" s="939"/>
      <c r="E1002" s="1360"/>
      <c r="F1002" s="1358"/>
      <c r="G1002" s="1358"/>
      <c r="H1002" s="1358"/>
      <c r="I1002" s="1361"/>
      <c r="J1002" s="1358"/>
      <c r="K1002" s="1358"/>
      <c r="L1002" s="1365"/>
    </row>
    <row r="1003" spans="1:12" s="1347" customFormat="1">
      <c r="A1003" s="939"/>
      <c r="B1003" s="939"/>
      <c r="C1003" s="939"/>
      <c r="D1003" s="939"/>
      <c r="E1003" s="1360"/>
      <c r="F1003" s="1358"/>
      <c r="G1003" s="1358"/>
      <c r="H1003" s="1358"/>
      <c r="I1003" s="1361"/>
      <c r="J1003" s="1358"/>
      <c r="K1003" s="1358"/>
      <c r="L1003" s="1365"/>
    </row>
    <row r="1004" spans="1:12" s="1347" customFormat="1">
      <c r="A1004" s="939"/>
      <c r="B1004" s="939"/>
      <c r="C1004" s="939"/>
      <c r="D1004" s="939"/>
      <c r="E1004" s="1360"/>
      <c r="F1004" s="1358"/>
      <c r="G1004" s="1358"/>
      <c r="H1004" s="1358"/>
      <c r="I1004" s="1361"/>
      <c r="J1004" s="1358"/>
      <c r="K1004" s="1358"/>
      <c r="L1004" s="1365"/>
    </row>
    <row r="1005" spans="1:12" s="1347" customFormat="1">
      <c r="A1005" s="939"/>
      <c r="B1005" s="939"/>
      <c r="C1005" s="939"/>
      <c r="D1005" s="939"/>
      <c r="E1005" s="1360"/>
      <c r="F1005" s="1358"/>
      <c r="G1005" s="1358"/>
      <c r="H1005" s="1358"/>
      <c r="I1005" s="1361"/>
      <c r="J1005" s="1358"/>
      <c r="K1005" s="1358"/>
      <c r="L1005" s="1365"/>
    </row>
    <row r="1006" spans="1:12" s="1347" customFormat="1">
      <c r="A1006" s="939"/>
      <c r="B1006" s="939"/>
      <c r="C1006" s="939"/>
      <c r="D1006" s="939"/>
      <c r="E1006" s="1360"/>
      <c r="F1006" s="1358"/>
      <c r="G1006" s="1358"/>
      <c r="H1006" s="1358"/>
      <c r="I1006" s="1361"/>
      <c r="J1006" s="1358"/>
      <c r="K1006" s="1358"/>
      <c r="L1006" s="1365"/>
    </row>
    <row r="1007" spans="1:12" s="1347" customFormat="1">
      <c r="A1007" s="939"/>
      <c r="B1007" s="939"/>
      <c r="C1007" s="939"/>
      <c r="D1007" s="939"/>
      <c r="E1007" s="1360"/>
      <c r="F1007" s="1358"/>
      <c r="G1007" s="1358"/>
      <c r="H1007" s="1358"/>
      <c r="I1007" s="1361"/>
      <c r="J1007" s="1358"/>
      <c r="K1007" s="1358"/>
      <c r="L1007" s="1365"/>
    </row>
    <row r="1008" spans="1:12" s="1347" customFormat="1">
      <c r="A1008" s="939"/>
      <c r="B1008" s="939"/>
      <c r="C1008" s="939"/>
      <c r="D1008" s="939"/>
      <c r="E1008" s="1360"/>
      <c r="F1008" s="1358"/>
      <c r="G1008" s="1358"/>
      <c r="H1008" s="1358"/>
      <c r="I1008" s="1361"/>
      <c r="J1008" s="1358"/>
      <c r="K1008" s="1358"/>
      <c r="L1008" s="1365"/>
    </row>
    <row r="1009" spans="1:12" s="1347" customFormat="1">
      <c r="A1009" s="939"/>
      <c r="B1009" s="939"/>
      <c r="C1009" s="939"/>
      <c r="D1009" s="939"/>
      <c r="E1009" s="1360"/>
      <c r="F1009" s="1358"/>
      <c r="G1009" s="1358"/>
      <c r="H1009" s="1358"/>
      <c r="I1009" s="1361"/>
      <c r="J1009" s="1358"/>
      <c r="K1009" s="1358"/>
      <c r="L1009" s="1365"/>
    </row>
    <row r="1010" spans="1:12" s="1347" customFormat="1">
      <c r="A1010" s="939"/>
      <c r="B1010" s="939"/>
      <c r="C1010" s="939"/>
      <c r="D1010" s="939"/>
      <c r="E1010" s="1360"/>
      <c r="F1010" s="1358"/>
      <c r="G1010" s="1358"/>
      <c r="H1010" s="1358"/>
      <c r="I1010" s="1361"/>
      <c r="J1010" s="1358"/>
      <c r="K1010" s="1358"/>
      <c r="L1010" s="1365"/>
    </row>
    <row r="1011" spans="1:12" s="1347" customFormat="1">
      <c r="A1011" s="939"/>
      <c r="B1011" s="939"/>
      <c r="C1011" s="939"/>
      <c r="D1011" s="939"/>
      <c r="E1011" s="1360"/>
      <c r="F1011" s="1358"/>
      <c r="G1011" s="1358"/>
      <c r="H1011" s="1358"/>
      <c r="I1011" s="1361"/>
      <c r="J1011" s="1358"/>
      <c r="K1011" s="1358"/>
      <c r="L1011" s="1365"/>
    </row>
    <row r="1012" spans="1:12" s="1347" customFormat="1">
      <c r="A1012" s="939"/>
      <c r="B1012" s="939"/>
      <c r="C1012" s="939"/>
      <c r="D1012" s="939"/>
      <c r="E1012" s="1360"/>
      <c r="F1012" s="1358"/>
      <c r="G1012" s="1358"/>
      <c r="H1012" s="1358"/>
      <c r="I1012" s="1361"/>
      <c r="J1012" s="1358"/>
      <c r="K1012" s="1358"/>
      <c r="L1012" s="1365"/>
    </row>
    <row r="1013" spans="1:12" s="1347" customFormat="1">
      <c r="A1013" s="939"/>
      <c r="B1013" s="939"/>
      <c r="C1013" s="939"/>
      <c r="D1013" s="939"/>
      <c r="E1013" s="1360"/>
      <c r="F1013" s="1358"/>
      <c r="G1013" s="1358"/>
      <c r="H1013" s="1358"/>
      <c r="I1013" s="1361"/>
      <c r="J1013" s="1358"/>
      <c r="K1013" s="1358"/>
      <c r="L1013" s="1365"/>
    </row>
    <row r="1014" spans="1:12" s="1347" customFormat="1">
      <c r="A1014" s="939"/>
      <c r="B1014" s="939"/>
      <c r="C1014" s="939"/>
      <c r="D1014" s="939"/>
      <c r="E1014" s="1360"/>
      <c r="F1014" s="1358"/>
      <c r="G1014" s="1358"/>
      <c r="H1014" s="1358"/>
      <c r="I1014" s="1361"/>
      <c r="J1014" s="1358"/>
      <c r="K1014" s="1358"/>
      <c r="L1014" s="1365"/>
    </row>
    <row r="1015" spans="1:12" s="1347" customFormat="1">
      <c r="A1015" s="939"/>
      <c r="B1015" s="939"/>
      <c r="C1015" s="939"/>
      <c r="D1015" s="939"/>
      <c r="E1015" s="1360"/>
      <c r="F1015" s="1358"/>
      <c r="G1015" s="1358"/>
      <c r="H1015" s="1358"/>
      <c r="I1015" s="1361"/>
      <c r="J1015" s="1358"/>
      <c r="K1015" s="1358"/>
      <c r="L1015" s="1365"/>
    </row>
    <row r="1016" spans="1:12" s="1347" customFormat="1">
      <c r="A1016" s="939"/>
      <c r="B1016" s="939"/>
      <c r="C1016" s="939"/>
      <c r="D1016" s="939"/>
      <c r="E1016" s="1360"/>
      <c r="F1016" s="1358"/>
      <c r="G1016" s="1358"/>
      <c r="H1016" s="1358"/>
      <c r="I1016" s="1361"/>
      <c r="J1016" s="1358"/>
      <c r="K1016" s="1358"/>
      <c r="L1016" s="1365"/>
    </row>
    <row r="1017" spans="1:12" s="1347" customFormat="1">
      <c r="A1017" s="939"/>
      <c r="B1017" s="939"/>
      <c r="C1017" s="939"/>
      <c r="D1017" s="939"/>
      <c r="E1017" s="1360"/>
      <c r="F1017" s="1358"/>
      <c r="G1017" s="1358"/>
      <c r="H1017" s="1358"/>
      <c r="I1017" s="1361"/>
      <c r="J1017" s="1358"/>
      <c r="K1017" s="1358"/>
      <c r="L1017" s="1365"/>
    </row>
    <row r="1018" spans="1:12" s="1347" customFormat="1">
      <c r="A1018" s="939"/>
      <c r="B1018" s="939"/>
      <c r="C1018" s="939"/>
      <c r="D1018" s="939"/>
      <c r="E1018" s="1360"/>
      <c r="F1018" s="1358"/>
      <c r="G1018" s="1358"/>
      <c r="H1018" s="1358"/>
      <c r="I1018" s="1361"/>
      <c r="J1018" s="1358"/>
      <c r="K1018" s="1358"/>
      <c r="L1018" s="1365"/>
    </row>
    <row r="1019" spans="1:12" s="1347" customFormat="1">
      <c r="A1019" s="939"/>
      <c r="B1019" s="939"/>
      <c r="C1019" s="939"/>
      <c r="D1019" s="939"/>
      <c r="E1019" s="1360"/>
      <c r="F1019" s="1358"/>
      <c r="G1019" s="1358"/>
      <c r="H1019" s="1358"/>
      <c r="I1019" s="1361"/>
      <c r="J1019" s="1358"/>
      <c r="K1019" s="1358"/>
      <c r="L1019" s="1365"/>
    </row>
    <row r="1020" spans="1:12" s="1347" customFormat="1">
      <c r="A1020" s="939"/>
      <c r="B1020" s="939"/>
      <c r="C1020" s="939"/>
      <c r="D1020" s="939"/>
      <c r="E1020" s="1360"/>
      <c r="F1020" s="1358"/>
      <c r="G1020" s="1358"/>
      <c r="H1020" s="1358"/>
      <c r="I1020" s="1361"/>
      <c r="J1020" s="1358"/>
      <c r="K1020" s="1358"/>
      <c r="L1020" s="1365"/>
    </row>
    <row r="1021" spans="1:12" s="1347" customFormat="1">
      <c r="A1021" s="939"/>
      <c r="B1021" s="939"/>
      <c r="C1021" s="939"/>
      <c r="D1021" s="939"/>
      <c r="E1021" s="1360"/>
      <c r="F1021" s="1358"/>
      <c r="G1021" s="1358"/>
      <c r="H1021" s="1358"/>
      <c r="I1021" s="1361"/>
      <c r="J1021" s="1358"/>
      <c r="K1021" s="1358"/>
      <c r="L1021" s="1365"/>
    </row>
    <row r="1022" spans="1:12" s="1347" customFormat="1">
      <c r="A1022" s="939"/>
      <c r="B1022" s="939"/>
      <c r="C1022" s="939"/>
      <c r="D1022" s="939"/>
      <c r="E1022" s="1360"/>
      <c r="F1022" s="1358"/>
      <c r="G1022" s="1358"/>
      <c r="H1022" s="1358"/>
      <c r="I1022" s="1361"/>
      <c r="J1022" s="1358"/>
      <c r="K1022" s="1358"/>
      <c r="L1022" s="1365"/>
    </row>
    <row r="1023" spans="1:12" s="1347" customFormat="1">
      <c r="A1023" s="939"/>
      <c r="B1023" s="939"/>
      <c r="C1023" s="939"/>
      <c r="D1023" s="939"/>
      <c r="E1023" s="1360"/>
      <c r="F1023" s="1358"/>
      <c r="G1023" s="1358"/>
      <c r="H1023" s="1358"/>
      <c r="I1023" s="1361"/>
      <c r="J1023" s="1358"/>
      <c r="K1023" s="1358"/>
      <c r="L1023" s="1365"/>
    </row>
    <row r="1024" spans="1:12" s="1347" customFormat="1">
      <c r="A1024" s="939"/>
      <c r="B1024" s="939"/>
      <c r="C1024" s="939"/>
      <c r="D1024" s="939"/>
      <c r="E1024" s="1360"/>
      <c r="F1024" s="1358"/>
      <c r="G1024" s="1358"/>
      <c r="H1024" s="1358"/>
      <c r="I1024" s="1361"/>
      <c r="J1024" s="1358"/>
      <c r="K1024" s="1358"/>
      <c r="L1024" s="1365"/>
    </row>
    <row r="1025" spans="1:12" s="1347" customFormat="1">
      <c r="A1025" s="939"/>
      <c r="B1025" s="939"/>
      <c r="C1025" s="939"/>
      <c r="D1025" s="939"/>
      <c r="E1025" s="1360"/>
      <c r="F1025" s="1358"/>
      <c r="G1025" s="1358"/>
      <c r="H1025" s="1358"/>
      <c r="I1025" s="1361"/>
      <c r="J1025" s="1358"/>
      <c r="K1025" s="1358"/>
      <c r="L1025" s="1365"/>
    </row>
    <row r="1026" spans="1:12" s="1347" customFormat="1">
      <c r="A1026" s="939"/>
      <c r="B1026" s="939"/>
      <c r="C1026" s="939"/>
      <c r="D1026" s="939"/>
      <c r="E1026" s="1360"/>
      <c r="F1026" s="1358"/>
      <c r="G1026" s="1358"/>
      <c r="H1026" s="1358"/>
      <c r="I1026" s="1361"/>
      <c r="J1026" s="1358"/>
      <c r="K1026" s="1358"/>
      <c r="L1026" s="1365"/>
    </row>
    <row r="1027" spans="1:12" s="1347" customFormat="1">
      <c r="A1027" s="939"/>
      <c r="B1027" s="939"/>
      <c r="C1027" s="939"/>
      <c r="D1027" s="939"/>
      <c r="E1027" s="1360"/>
      <c r="F1027" s="1358"/>
      <c r="G1027" s="1358"/>
      <c r="H1027" s="1358"/>
      <c r="I1027" s="1361"/>
      <c r="J1027" s="1358"/>
      <c r="K1027" s="1358"/>
      <c r="L1027" s="1365"/>
    </row>
    <row r="1028" spans="1:12" s="1347" customFormat="1">
      <c r="A1028" s="939"/>
      <c r="B1028" s="939"/>
      <c r="C1028" s="939"/>
      <c r="D1028" s="939"/>
      <c r="E1028" s="1360"/>
      <c r="F1028" s="1358"/>
      <c r="G1028" s="1358"/>
      <c r="H1028" s="1358"/>
      <c r="I1028" s="1361"/>
      <c r="J1028" s="1358"/>
      <c r="K1028" s="1358"/>
      <c r="L1028" s="1365"/>
    </row>
    <row r="1029" spans="1:12" s="1347" customFormat="1">
      <c r="A1029" s="939"/>
      <c r="B1029" s="939"/>
      <c r="C1029" s="939"/>
      <c r="D1029" s="939"/>
      <c r="E1029" s="1360"/>
      <c r="F1029" s="1358"/>
      <c r="G1029" s="1358"/>
      <c r="H1029" s="1358"/>
      <c r="I1029" s="1361"/>
      <c r="J1029" s="1358"/>
      <c r="K1029" s="1358"/>
      <c r="L1029" s="1365"/>
    </row>
    <row r="1030" spans="1:12" s="1347" customFormat="1">
      <c r="A1030" s="939"/>
      <c r="B1030" s="939"/>
      <c r="C1030" s="939"/>
      <c r="D1030" s="939"/>
      <c r="E1030" s="1360"/>
      <c r="F1030" s="1358"/>
      <c r="G1030" s="1358"/>
      <c r="H1030" s="1358"/>
      <c r="I1030" s="1361"/>
      <c r="J1030" s="1358"/>
      <c r="K1030" s="1358"/>
      <c r="L1030" s="1365"/>
    </row>
    <row r="1031" spans="1:12" s="1347" customFormat="1">
      <c r="A1031" s="939"/>
      <c r="B1031" s="939"/>
      <c r="C1031" s="939"/>
      <c r="D1031" s="939"/>
      <c r="E1031" s="1360"/>
      <c r="F1031" s="1358"/>
      <c r="G1031" s="1358"/>
      <c r="H1031" s="1358"/>
      <c r="I1031" s="1361"/>
      <c r="J1031" s="1358"/>
      <c r="K1031" s="1358"/>
      <c r="L1031" s="1365"/>
    </row>
    <row r="1032" spans="1:12" s="1347" customFormat="1">
      <c r="A1032" s="939"/>
      <c r="B1032" s="939"/>
      <c r="C1032" s="939"/>
      <c r="D1032" s="939"/>
      <c r="E1032" s="1360"/>
      <c r="F1032" s="1358"/>
      <c r="G1032" s="1358"/>
      <c r="H1032" s="1358"/>
      <c r="I1032" s="1361"/>
      <c r="J1032" s="1358"/>
      <c r="K1032" s="1358"/>
      <c r="L1032" s="1365"/>
    </row>
    <row r="1033" spans="1:12" s="1347" customFormat="1">
      <c r="A1033" s="939"/>
      <c r="B1033" s="939"/>
      <c r="C1033" s="939"/>
      <c r="D1033" s="939"/>
      <c r="E1033" s="1360"/>
      <c r="F1033" s="1358"/>
      <c r="G1033" s="1358"/>
      <c r="H1033" s="1358"/>
      <c r="I1033" s="1361"/>
      <c r="J1033" s="1358"/>
      <c r="K1033" s="1358"/>
      <c r="L1033" s="1365"/>
    </row>
    <row r="1034" spans="1:12" s="1347" customFormat="1">
      <c r="A1034" s="939"/>
      <c r="B1034" s="939"/>
      <c r="C1034" s="939"/>
      <c r="D1034" s="939"/>
      <c r="E1034" s="1360"/>
      <c r="F1034" s="1358"/>
      <c r="G1034" s="1358"/>
      <c r="H1034" s="1358"/>
      <c r="I1034" s="1361"/>
      <c r="J1034" s="1358"/>
      <c r="K1034" s="1358"/>
      <c r="L1034" s="1365"/>
    </row>
    <row r="1035" spans="1:12" s="1347" customFormat="1">
      <c r="A1035" s="939"/>
      <c r="B1035" s="939"/>
      <c r="C1035" s="939"/>
      <c r="D1035" s="939"/>
      <c r="E1035" s="1360"/>
      <c r="F1035" s="1358"/>
      <c r="G1035" s="1358"/>
      <c r="H1035" s="1358"/>
      <c r="I1035" s="1361"/>
      <c r="J1035" s="1358"/>
      <c r="K1035" s="1358"/>
      <c r="L1035" s="1365"/>
    </row>
    <row r="1036" spans="1:12" s="1347" customFormat="1">
      <c r="A1036" s="939"/>
      <c r="B1036" s="939"/>
      <c r="C1036" s="939"/>
      <c r="D1036" s="939"/>
      <c r="E1036" s="1360"/>
      <c r="F1036" s="1358"/>
      <c r="G1036" s="1358"/>
      <c r="H1036" s="1358"/>
      <c r="I1036" s="1361"/>
      <c r="J1036" s="1358"/>
      <c r="K1036" s="1358"/>
      <c r="L1036" s="1365"/>
    </row>
    <row r="1037" spans="1:12" s="1347" customFormat="1">
      <c r="A1037" s="939"/>
      <c r="B1037" s="939"/>
      <c r="C1037" s="939"/>
      <c r="D1037" s="939"/>
      <c r="E1037" s="1360"/>
      <c r="F1037" s="1358"/>
      <c r="G1037" s="1358"/>
      <c r="H1037" s="1358"/>
      <c r="I1037" s="1361"/>
      <c r="J1037" s="1358"/>
      <c r="K1037" s="1358"/>
      <c r="L1037" s="1365"/>
    </row>
    <row r="1038" spans="1:12" s="1347" customFormat="1">
      <c r="A1038" s="939"/>
      <c r="B1038" s="939"/>
      <c r="C1038" s="939"/>
      <c r="D1038" s="939"/>
      <c r="E1038" s="1360"/>
      <c r="F1038" s="1358"/>
      <c r="G1038" s="1358"/>
      <c r="H1038" s="1358"/>
      <c r="I1038" s="1361"/>
      <c r="J1038" s="1358"/>
      <c r="K1038" s="1358"/>
      <c r="L1038" s="1365"/>
    </row>
    <row r="1039" spans="1:12" s="1347" customFormat="1">
      <c r="A1039" s="939"/>
      <c r="B1039" s="939"/>
      <c r="C1039" s="939"/>
      <c r="D1039" s="939"/>
      <c r="E1039" s="1360"/>
      <c r="F1039" s="1358"/>
      <c r="G1039" s="1358"/>
      <c r="H1039" s="1358"/>
      <c r="I1039" s="1361"/>
      <c r="J1039" s="1358"/>
      <c r="K1039" s="1358"/>
      <c r="L1039" s="1365"/>
    </row>
    <row r="1040" spans="1:12" s="1347" customFormat="1">
      <c r="A1040" s="939"/>
      <c r="B1040" s="939"/>
      <c r="C1040" s="939"/>
      <c r="D1040" s="939"/>
      <c r="E1040" s="1360"/>
      <c r="F1040" s="1358"/>
      <c r="G1040" s="1358"/>
      <c r="H1040" s="1358"/>
      <c r="I1040" s="1361"/>
      <c r="J1040" s="1358"/>
      <c r="K1040" s="1358"/>
      <c r="L1040" s="1365"/>
    </row>
    <row r="1041" spans="1:12" s="1347" customFormat="1">
      <c r="A1041" s="939"/>
      <c r="B1041" s="939"/>
      <c r="C1041" s="939"/>
      <c r="D1041" s="939"/>
      <c r="E1041" s="1360"/>
      <c r="F1041" s="1358"/>
      <c r="G1041" s="1358"/>
      <c r="H1041" s="1358"/>
      <c r="I1041" s="1361"/>
      <c r="J1041" s="1358"/>
      <c r="K1041" s="1358"/>
      <c r="L1041" s="1365"/>
    </row>
    <row r="1042" spans="1:12" s="1347" customFormat="1">
      <c r="A1042" s="939"/>
      <c r="B1042" s="939"/>
      <c r="C1042" s="939"/>
      <c r="D1042" s="939"/>
      <c r="E1042" s="1360"/>
      <c r="F1042" s="1358"/>
      <c r="G1042" s="1358"/>
      <c r="H1042" s="1358"/>
      <c r="I1042" s="1361"/>
      <c r="J1042" s="1358"/>
      <c r="K1042" s="1358"/>
      <c r="L1042" s="1365"/>
    </row>
    <row r="1043" spans="1:12" s="1347" customFormat="1">
      <c r="A1043" s="939"/>
      <c r="B1043" s="939"/>
      <c r="C1043" s="939"/>
      <c r="D1043" s="939"/>
      <c r="E1043" s="1360"/>
      <c r="F1043" s="1358"/>
      <c r="G1043" s="1358"/>
      <c r="H1043" s="1358"/>
      <c r="I1043" s="1361"/>
      <c r="J1043" s="1358"/>
      <c r="K1043" s="1358"/>
      <c r="L1043" s="1365"/>
    </row>
    <row r="1044" spans="1:12" s="1347" customFormat="1">
      <c r="A1044" s="939"/>
      <c r="B1044" s="939"/>
      <c r="C1044" s="939"/>
      <c r="D1044" s="939"/>
      <c r="E1044" s="1360"/>
      <c r="F1044" s="1358"/>
      <c r="G1044" s="1358"/>
      <c r="H1044" s="1358"/>
      <c r="I1044" s="1361"/>
      <c r="J1044" s="1358"/>
      <c r="K1044" s="1358"/>
      <c r="L1044" s="1365"/>
    </row>
    <row r="1045" spans="1:12" s="1347" customFormat="1">
      <c r="A1045" s="939"/>
      <c r="B1045" s="939"/>
      <c r="C1045" s="939"/>
      <c r="D1045" s="939"/>
      <c r="E1045" s="1360"/>
      <c r="F1045" s="1358"/>
      <c r="G1045" s="1358"/>
      <c r="H1045" s="1358"/>
      <c r="I1045" s="1361"/>
      <c r="J1045" s="1358"/>
      <c r="K1045" s="1358"/>
      <c r="L1045" s="1365"/>
    </row>
    <row r="1046" spans="1:12" s="1347" customFormat="1">
      <c r="A1046" s="939"/>
      <c r="B1046" s="939"/>
      <c r="C1046" s="939"/>
      <c r="D1046" s="939"/>
      <c r="E1046" s="1360"/>
      <c r="F1046" s="1358"/>
      <c r="G1046" s="1358"/>
      <c r="H1046" s="1358"/>
      <c r="I1046" s="1361"/>
      <c r="J1046" s="1358"/>
      <c r="K1046" s="1358"/>
      <c r="L1046" s="1365"/>
    </row>
    <row r="1047" spans="1:12" s="1347" customFormat="1">
      <c r="A1047" s="939"/>
      <c r="B1047" s="939"/>
      <c r="C1047" s="939"/>
      <c r="D1047" s="939"/>
      <c r="E1047" s="1360"/>
      <c r="F1047" s="1358"/>
      <c r="G1047" s="1358"/>
      <c r="H1047" s="1358"/>
      <c r="I1047" s="1361"/>
      <c r="J1047" s="1358"/>
      <c r="K1047" s="1358"/>
      <c r="L1047" s="1365"/>
    </row>
    <row r="1048" spans="1:12" s="1347" customFormat="1">
      <c r="A1048" s="939"/>
      <c r="B1048" s="939"/>
      <c r="C1048" s="939"/>
      <c r="D1048" s="939"/>
      <c r="E1048" s="1360"/>
      <c r="F1048" s="1358"/>
      <c r="G1048" s="1358"/>
      <c r="H1048" s="1358"/>
      <c r="I1048" s="1361"/>
      <c r="J1048" s="1358"/>
      <c r="K1048" s="1358"/>
      <c r="L1048" s="1365"/>
    </row>
    <row r="1049" spans="1:12" s="1347" customFormat="1">
      <c r="A1049" s="939"/>
      <c r="B1049" s="939"/>
      <c r="C1049" s="939"/>
      <c r="D1049" s="939"/>
      <c r="E1049" s="1360"/>
      <c r="F1049" s="1358"/>
      <c r="G1049" s="1358"/>
      <c r="H1049" s="1358"/>
      <c r="I1049" s="1361"/>
      <c r="J1049" s="1358"/>
      <c r="K1049" s="1358"/>
      <c r="L1049" s="1365"/>
    </row>
    <row r="1050" spans="1:12" s="1347" customFormat="1">
      <c r="A1050" s="939"/>
      <c r="B1050" s="939"/>
      <c r="C1050" s="939"/>
      <c r="D1050" s="939"/>
      <c r="E1050" s="1360"/>
      <c r="F1050" s="1358"/>
      <c r="G1050" s="1358"/>
      <c r="H1050" s="1358"/>
      <c r="I1050" s="1361"/>
      <c r="J1050" s="1358"/>
      <c r="K1050" s="1358"/>
      <c r="L1050" s="1365"/>
    </row>
    <row r="1051" spans="1:12" s="1347" customFormat="1">
      <c r="A1051" s="939"/>
      <c r="B1051" s="939"/>
      <c r="C1051" s="939"/>
      <c r="D1051" s="939"/>
      <c r="E1051" s="1360"/>
      <c r="F1051" s="1358"/>
      <c r="G1051" s="1358"/>
      <c r="H1051" s="1358"/>
      <c r="I1051" s="1361"/>
      <c r="J1051" s="1358"/>
      <c r="K1051" s="1358"/>
      <c r="L1051" s="1365"/>
    </row>
    <row r="1052" spans="1:12" s="1347" customFormat="1">
      <c r="A1052" s="939"/>
      <c r="B1052" s="939"/>
      <c r="C1052" s="939"/>
      <c r="D1052" s="939"/>
      <c r="E1052" s="1360"/>
      <c r="F1052" s="1358"/>
      <c r="G1052" s="1358"/>
      <c r="H1052" s="1358"/>
      <c r="I1052" s="1361"/>
      <c r="J1052" s="1358"/>
      <c r="K1052" s="1358"/>
      <c r="L1052" s="1365"/>
    </row>
    <row r="1053" spans="1:12" s="1347" customFormat="1">
      <c r="A1053" s="939"/>
      <c r="B1053" s="939"/>
      <c r="C1053" s="939"/>
      <c r="D1053" s="939"/>
      <c r="E1053" s="1360"/>
      <c r="F1053" s="1358"/>
      <c r="G1053" s="1358"/>
      <c r="H1053" s="1358"/>
      <c r="I1053" s="1361"/>
      <c r="J1053" s="1358"/>
      <c r="K1053" s="1358"/>
      <c r="L1053" s="1365"/>
    </row>
    <row r="1054" spans="1:12" s="1347" customFormat="1">
      <c r="A1054" s="939"/>
      <c r="B1054" s="939"/>
      <c r="C1054" s="939"/>
      <c r="D1054" s="939"/>
      <c r="E1054" s="1360"/>
      <c r="F1054" s="1358"/>
      <c r="G1054" s="1358"/>
      <c r="H1054" s="1358"/>
      <c r="I1054" s="1361"/>
      <c r="J1054" s="1358"/>
      <c r="K1054" s="1358"/>
      <c r="L1054" s="1365"/>
    </row>
    <row r="1055" spans="1:12" s="1347" customFormat="1">
      <c r="A1055" s="939"/>
      <c r="B1055" s="939"/>
      <c r="C1055" s="939"/>
      <c r="D1055" s="939"/>
      <c r="E1055" s="1360"/>
      <c r="F1055" s="1358"/>
      <c r="G1055" s="1358"/>
      <c r="H1055" s="1358"/>
      <c r="I1055" s="1361"/>
      <c r="J1055" s="1358"/>
      <c r="K1055" s="1358"/>
      <c r="L1055" s="1365"/>
    </row>
    <row r="1056" spans="1:12" s="1347" customFormat="1">
      <c r="A1056" s="939"/>
      <c r="B1056" s="939"/>
      <c r="C1056" s="939"/>
      <c r="D1056" s="939"/>
      <c r="E1056" s="1360"/>
      <c r="F1056" s="1358"/>
      <c r="G1056" s="1358"/>
      <c r="H1056" s="1358"/>
      <c r="I1056" s="1361"/>
      <c r="J1056" s="1358"/>
      <c r="K1056" s="1358"/>
      <c r="L1056" s="1365"/>
    </row>
    <row r="1057" spans="1:12" s="1347" customFormat="1">
      <c r="A1057" s="939"/>
      <c r="B1057" s="939"/>
      <c r="C1057" s="939"/>
      <c r="D1057" s="939"/>
      <c r="E1057" s="1360"/>
      <c r="F1057" s="1358"/>
      <c r="G1057" s="1358"/>
      <c r="H1057" s="1358"/>
      <c r="I1057" s="1361"/>
      <c r="J1057" s="1358"/>
      <c r="K1057" s="1358"/>
      <c r="L1057" s="1365"/>
    </row>
    <row r="1058" spans="1:12" s="1347" customFormat="1">
      <c r="A1058" s="939"/>
      <c r="B1058" s="939"/>
      <c r="C1058" s="939"/>
      <c r="D1058" s="939"/>
      <c r="E1058" s="1360"/>
      <c r="F1058" s="1358"/>
      <c r="G1058" s="1358"/>
      <c r="H1058" s="1358"/>
      <c r="I1058" s="1361"/>
      <c r="J1058" s="1358"/>
      <c r="K1058" s="1358"/>
      <c r="L1058" s="1365"/>
    </row>
    <row r="1059" spans="1:12" s="1347" customFormat="1">
      <c r="A1059" s="939"/>
      <c r="B1059" s="939"/>
      <c r="C1059" s="939"/>
      <c r="D1059" s="939"/>
      <c r="E1059" s="1360"/>
      <c r="F1059" s="1358"/>
      <c r="G1059" s="1358"/>
      <c r="H1059" s="1358"/>
      <c r="I1059" s="1361"/>
      <c r="J1059" s="1358"/>
      <c r="K1059" s="1358"/>
      <c r="L1059" s="1365"/>
    </row>
    <row r="1060" spans="1:12" s="1347" customFormat="1">
      <c r="A1060" s="939"/>
      <c r="B1060" s="939"/>
      <c r="C1060" s="939"/>
      <c r="D1060" s="939"/>
      <c r="E1060" s="1360"/>
      <c r="F1060" s="1358"/>
      <c r="G1060" s="1358"/>
      <c r="H1060" s="1358"/>
      <c r="I1060" s="1361"/>
      <c r="J1060" s="1358"/>
      <c r="K1060" s="1358"/>
      <c r="L1060" s="1365"/>
    </row>
    <row r="1061" spans="1:12" s="1347" customFormat="1">
      <c r="A1061" s="939"/>
      <c r="B1061" s="939"/>
      <c r="C1061" s="939"/>
      <c r="D1061" s="939"/>
      <c r="E1061" s="1360"/>
      <c r="F1061" s="1358"/>
      <c r="G1061" s="1358"/>
      <c r="H1061" s="1358"/>
      <c r="I1061" s="1361"/>
      <c r="J1061" s="1358"/>
      <c r="K1061" s="1358"/>
      <c r="L1061" s="1365"/>
    </row>
    <row r="1062" spans="1:12" s="1347" customFormat="1">
      <c r="A1062" s="939"/>
      <c r="B1062" s="939"/>
      <c r="C1062" s="939"/>
      <c r="D1062" s="939"/>
      <c r="E1062" s="1360"/>
      <c r="F1062" s="1358"/>
      <c r="G1062" s="1358"/>
      <c r="H1062" s="1358"/>
      <c r="I1062" s="1361"/>
      <c r="J1062" s="1358"/>
      <c r="K1062" s="1358"/>
      <c r="L1062" s="1365"/>
    </row>
    <row r="1063" spans="1:12" s="1347" customFormat="1">
      <c r="A1063" s="939"/>
      <c r="B1063" s="939"/>
      <c r="C1063" s="939"/>
      <c r="D1063" s="939"/>
      <c r="E1063" s="1360"/>
      <c r="F1063" s="1358"/>
      <c r="G1063" s="1358"/>
      <c r="H1063" s="1358"/>
      <c r="I1063" s="1361"/>
      <c r="J1063" s="1358"/>
      <c r="K1063" s="1358"/>
      <c r="L1063" s="1365"/>
    </row>
    <row r="1064" spans="1:12" s="1347" customFormat="1">
      <c r="A1064" s="939"/>
      <c r="B1064" s="939"/>
      <c r="C1064" s="939"/>
      <c r="D1064" s="939"/>
      <c r="E1064" s="1360"/>
      <c r="F1064" s="1358"/>
      <c r="G1064" s="1358"/>
      <c r="H1064" s="1358"/>
      <c r="I1064" s="1361"/>
      <c r="J1064" s="1358"/>
      <c r="K1064" s="1358"/>
      <c r="L1064" s="1365"/>
    </row>
    <row r="1065" spans="1:12" s="1347" customFormat="1">
      <c r="A1065" s="939"/>
      <c r="B1065" s="939"/>
      <c r="C1065" s="939"/>
      <c r="D1065" s="939"/>
      <c r="E1065" s="1360"/>
      <c r="F1065" s="1358"/>
      <c r="G1065" s="1358"/>
      <c r="H1065" s="1358"/>
      <c r="I1065" s="1361"/>
      <c r="J1065" s="1358"/>
      <c r="K1065" s="1358"/>
      <c r="L1065" s="1365"/>
    </row>
    <row r="1066" spans="1:12" s="1347" customFormat="1">
      <c r="A1066" s="939"/>
      <c r="B1066" s="939"/>
      <c r="C1066" s="939"/>
      <c r="D1066" s="939"/>
      <c r="E1066" s="1360"/>
      <c r="F1066" s="1358"/>
      <c r="G1066" s="1358"/>
      <c r="H1066" s="1358"/>
      <c r="I1066" s="1361"/>
      <c r="J1066" s="1358"/>
      <c r="K1066" s="1358"/>
      <c r="L1066" s="1365"/>
    </row>
    <row r="1067" spans="1:12" s="1347" customFormat="1">
      <c r="A1067" s="939"/>
      <c r="B1067" s="939"/>
      <c r="C1067" s="939"/>
      <c r="D1067" s="939"/>
      <c r="E1067" s="1360"/>
      <c r="F1067" s="1358"/>
      <c r="G1067" s="1358"/>
      <c r="H1067" s="1358"/>
      <c r="I1067" s="1361"/>
      <c r="J1067" s="1358"/>
      <c r="K1067" s="1358"/>
      <c r="L1067" s="1365"/>
    </row>
    <row r="1068" spans="1:12" s="1347" customFormat="1">
      <c r="A1068" s="939"/>
      <c r="B1068" s="939"/>
      <c r="C1068" s="939"/>
      <c r="D1068" s="939"/>
      <c r="E1068" s="1360"/>
      <c r="F1068" s="1358"/>
      <c r="G1068" s="1358"/>
      <c r="H1068" s="1358"/>
      <c r="I1068" s="1361"/>
      <c r="J1068" s="1358"/>
      <c r="K1068" s="1358"/>
      <c r="L1068" s="1365"/>
    </row>
    <row r="1069" spans="1:12" s="1347" customFormat="1">
      <c r="A1069" s="939"/>
      <c r="B1069" s="939"/>
      <c r="C1069" s="939"/>
      <c r="D1069" s="939"/>
      <c r="E1069" s="1360"/>
      <c r="F1069" s="1358"/>
      <c r="G1069" s="1358"/>
      <c r="H1069" s="1358"/>
      <c r="I1069" s="1361"/>
      <c r="J1069" s="1358"/>
      <c r="K1069" s="1358"/>
      <c r="L1069" s="1365"/>
    </row>
    <row r="1070" spans="1:12" s="1347" customFormat="1">
      <c r="A1070" s="939"/>
      <c r="B1070" s="939"/>
      <c r="C1070" s="939"/>
      <c r="D1070" s="939"/>
      <c r="E1070" s="1360"/>
      <c r="F1070" s="1358"/>
      <c r="G1070" s="1358"/>
      <c r="H1070" s="1358"/>
      <c r="I1070" s="1361"/>
      <c r="J1070" s="1358"/>
      <c r="K1070" s="1358"/>
      <c r="L1070" s="1365"/>
    </row>
    <row r="1071" spans="1:12" s="1347" customFormat="1">
      <c r="A1071" s="939"/>
      <c r="B1071" s="939"/>
      <c r="C1071" s="939"/>
      <c r="D1071" s="939"/>
      <c r="E1071" s="1360"/>
      <c r="F1071" s="1358"/>
      <c r="G1071" s="1358"/>
      <c r="H1071" s="1358"/>
      <c r="I1071" s="1361"/>
      <c r="J1071" s="1358"/>
      <c r="K1071" s="1358"/>
      <c r="L1071" s="1365"/>
    </row>
    <row r="1072" spans="1:12" s="1347" customFormat="1">
      <c r="A1072" s="939"/>
      <c r="B1072" s="939"/>
      <c r="C1072" s="939"/>
      <c r="D1072" s="939"/>
      <c r="E1072" s="1360"/>
      <c r="F1072" s="1358"/>
      <c r="G1072" s="1358"/>
      <c r="H1072" s="1358"/>
      <c r="I1072" s="1361"/>
      <c r="J1072" s="1358"/>
      <c r="K1072" s="1358"/>
      <c r="L1072" s="1365"/>
    </row>
    <row r="1073" spans="1:12" s="1347" customFormat="1">
      <c r="A1073" s="939"/>
      <c r="B1073" s="939"/>
      <c r="C1073" s="939"/>
      <c r="D1073" s="939"/>
      <c r="E1073" s="1360"/>
      <c r="F1073" s="1358"/>
      <c r="G1073" s="1358"/>
      <c r="H1073" s="1358"/>
      <c r="I1073" s="1361"/>
      <c r="J1073" s="1358"/>
      <c r="K1073" s="1358"/>
      <c r="L1073" s="1365"/>
    </row>
    <row r="1074" spans="1:12" s="1347" customFormat="1">
      <c r="A1074" s="939"/>
      <c r="B1074" s="939"/>
      <c r="C1074" s="939"/>
      <c r="D1074" s="939"/>
      <c r="E1074" s="1360"/>
      <c r="F1074" s="1358"/>
      <c r="G1074" s="1358"/>
      <c r="H1074" s="1358"/>
      <c r="I1074" s="1361"/>
      <c r="J1074" s="1358"/>
      <c r="K1074" s="1358"/>
      <c r="L1074" s="1365"/>
    </row>
    <row r="1075" spans="1:12" s="1347" customFormat="1">
      <c r="A1075" s="939"/>
      <c r="B1075" s="939"/>
      <c r="C1075" s="939"/>
      <c r="D1075" s="939"/>
      <c r="E1075" s="1360"/>
      <c r="F1075" s="1358"/>
      <c r="G1075" s="1358"/>
      <c r="H1075" s="1358"/>
      <c r="I1075" s="1361"/>
      <c r="J1075" s="1358"/>
      <c r="K1075" s="1358"/>
      <c r="L1075" s="1365"/>
    </row>
    <row r="1076" spans="1:12" s="1347" customFormat="1">
      <c r="A1076" s="939"/>
      <c r="B1076" s="939"/>
      <c r="C1076" s="939"/>
      <c r="D1076" s="939"/>
      <c r="E1076" s="1360"/>
      <c r="F1076" s="1358"/>
      <c r="G1076" s="1358"/>
      <c r="H1076" s="1358"/>
      <c r="I1076" s="1361"/>
      <c r="J1076" s="1358"/>
      <c r="K1076" s="1358"/>
      <c r="L1076" s="1365"/>
    </row>
    <row r="1077" spans="1:12" s="1347" customFormat="1">
      <c r="A1077" s="939"/>
      <c r="B1077" s="939"/>
      <c r="C1077" s="939"/>
      <c r="D1077" s="939"/>
      <c r="E1077" s="1360"/>
      <c r="F1077" s="1358"/>
      <c r="G1077" s="1358"/>
      <c r="H1077" s="1358"/>
      <c r="I1077" s="1361"/>
      <c r="J1077" s="1358"/>
      <c r="K1077" s="1358"/>
      <c r="L1077" s="1365"/>
    </row>
    <row r="1078" spans="1:12" s="1347" customFormat="1">
      <c r="A1078" s="939"/>
      <c r="B1078" s="939"/>
      <c r="C1078" s="939"/>
      <c r="D1078" s="939"/>
      <c r="E1078" s="1360"/>
      <c r="F1078" s="1358"/>
      <c r="G1078" s="1358"/>
      <c r="H1078" s="1358"/>
      <c r="I1078" s="1361"/>
      <c r="J1078" s="1358"/>
      <c r="K1078" s="1358"/>
      <c r="L1078" s="1365"/>
    </row>
    <row r="1079" spans="1:12" s="1347" customFormat="1">
      <c r="A1079" s="939"/>
      <c r="B1079" s="939"/>
      <c r="C1079" s="939"/>
      <c r="D1079" s="939"/>
      <c r="E1079" s="1360"/>
      <c r="F1079" s="1358"/>
      <c r="G1079" s="1358"/>
      <c r="H1079" s="1358"/>
      <c r="I1079" s="1361"/>
      <c r="J1079" s="1358"/>
      <c r="K1079" s="1358"/>
      <c r="L1079" s="1365"/>
    </row>
    <row r="1080" spans="1:12" s="1347" customFormat="1">
      <c r="A1080" s="939"/>
      <c r="B1080" s="939"/>
      <c r="C1080" s="939"/>
      <c r="D1080" s="939"/>
      <c r="E1080" s="1360"/>
      <c r="F1080" s="1358"/>
      <c r="G1080" s="1358"/>
      <c r="H1080" s="1358"/>
      <c r="I1080" s="1361"/>
      <c r="J1080" s="1358"/>
      <c r="K1080" s="1358"/>
      <c r="L1080" s="1365"/>
    </row>
    <row r="1081" spans="1:12" s="1347" customFormat="1">
      <c r="A1081" s="939"/>
      <c r="B1081" s="939"/>
      <c r="C1081" s="939"/>
      <c r="D1081" s="939"/>
      <c r="E1081" s="1360"/>
      <c r="F1081" s="1358"/>
      <c r="G1081" s="1358"/>
      <c r="H1081" s="1358"/>
      <c r="I1081" s="1361"/>
      <c r="J1081" s="1358"/>
      <c r="K1081" s="1358"/>
      <c r="L1081" s="1365"/>
    </row>
    <row r="1082" spans="1:12" s="1347" customFormat="1">
      <c r="A1082" s="939"/>
      <c r="B1082" s="939"/>
      <c r="C1082" s="939"/>
      <c r="D1082" s="939"/>
      <c r="E1082" s="1360"/>
      <c r="F1082" s="1358"/>
      <c r="G1082" s="1358"/>
      <c r="H1082" s="1358"/>
      <c r="I1082" s="1361"/>
      <c r="J1082" s="1358"/>
      <c r="K1082" s="1358"/>
      <c r="L1082" s="1365"/>
    </row>
    <row r="1083" spans="1:12" s="1347" customFormat="1">
      <c r="A1083" s="939"/>
      <c r="B1083" s="939"/>
      <c r="C1083" s="939"/>
      <c r="D1083" s="939"/>
      <c r="E1083" s="1360"/>
      <c r="F1083" s="1358"/>
      <c r="G1083" s="1358"/>
      <c r="H1083" s="1358"/>
      <c r="I1083" s="1361"/>
      <c r="J1083" s="1358"/>
      <c r="K1083" s="1358"/>
      <c r="L1083" s="1365"/>
    </row>
    <row r="1084" spans="1:12" s="1347" customFormat="1">
      <c r="A1084" s="939"/>
      <c r="B1084" s="939"/>
      <c r="C1084" s="939"/>
      <c r="D1084" s="939"/>
      <c r="E1084" s="1360"/>
      <c r="F1084" s="1358"/>
      <c r="G1084" s="1358"/>
      <c r="H1084" s="1358"/>
      <c r="I1084" s="1361"/>
      <c r="J1084" s="1358"/>
      <c r="K1084" s="1358"/>
      <c r="L1084" s="1365"/>
    </row>
    <row r="1085" spans="1:12" s="1347" customFormat="1">
      <c r="A1085" s="939"/>
      <c r="B1085" s="939"/>
      <c r="C1085" s="939"/>
      <c r="D1085" s="939"/>
      <c r="E1085" s="1360"/>
      <c r="F1085" s="1358"/>
      <c r="G1085" s="1358"/>
      <c r="H1085" s="1358"/>
      <c r="I1085" s="1361"/>
      <c r="J1085" s="1358"/>
      <c r="K1085" s="1358"/>
      <c r="L1085" s="1365"/>
    </row>
    <row r="1086" spans="1:12" s="1347" customFormat="1">
      <c r="A1086" s="939"/>
      <c r="B1086" s="939"/>
      <c r="C1086" s="939"/>
      <c r="D1086" s="939"/>
      <c r="E1086" s="1360"/>
      <c r="F1086" s="1358"/>
      <c r="G1086" s="1358"/>
      <c r="H1086" s="1358"/>
      <c r="I1086" s="1361"/>
      <c r="J1086" s="1358"/>
      <c r="K1086" s="1358"/>
      <c r="L1086" s="1365"/>
    </row>
    <row r="1087" spans="1:12" s="1347" customFormat="1">
      <c r="A1087" s="939"/>
      <c r="B1087" s="939"/>
      <c r="C1087" s="939"/>
      <c r="D1087" s="939"/>
      <c r="E1087" s="1360"/>
      <c r="F1087" s="1358"/>
      <c r="G1087" s="1358"/>
      <c r="H1087" s="1358"/>
      <c r="I1087" s="1361"/>
      <c r="J1087" s="1358"/>
      <c r="K1087" s="1358"/>
      <c r="L1087" s="1365"/>
    </row>
    <row r="1088" spans="1:12" s="1347" customFormat="1">
      <c r="A1088" s="939"/>
      <c r="B1088" s="939"/>
      <c r="C1088" s="939"/>
      <c r="D1088" s="939"/>
      <c r="E1088" s="1360"/>
      <c r="F1088" s="1358"/>
      <c r="G1088" s="1358"/>
      <c r="H1088" s="1358"/>
      <c r="I1088" s="1361"/>
      <c r="J1088" s="1358"/>
      <c r="K1088" s="1358"/>
      <c r="L1088" s="1365"/>
    </row>
    <row r="1089" spans="1:12" s="1347" customFormat="1">
      <c r="A1089" s="939"/>
      <c r="B1089" s="939"/>
      <c r="C1089" s="939"/>
      <c r="D1089" s="939"/>
      <c r="E1089" s="1360"/>
      <c r="F1089" s="1358"/>
      <c r="G1089" s="1358"/>
      <c r="H1089" s="1358"/>
      <c r="I1089" s="1361"/>
      <c r="J1089" s="1358"/>
      <c r="K1089" s="1358"/>
      <c r="L1089" s="1365"/>
    </row>
    <row r="1090" spans="1:12" s="1347" customFormat="1">
      <c r="A1090" s="939"/>
      <c r="B1090" s="939"/>
      <c r="C1090" s="939"/>
      <c r="D1090" s="939"/>
      <c r="E1090" s="1360"/>
      <c r="F1090" s="1358"/>
      <c r="G1090" s="1358"/>
      <c r="H1090" s="1358"/>
      <c r="I1090" s="1361"/>
      <c r="J1090" s="1358"/>
      <c r="K1090" s="1358"/>
      <c r="L1090" s="1365"/>
    </row>
    <row r="1091" spans="1:12" s="1347" customFormat="1">
      <c r="A1091" s="939"/>
      <c r="B1091" s="939"/>
      <c r="C1091" s="939"/>
      <c r="D1091" s="939"/>
      <c r="E1091" s="1360"/>
      <c r="F1091" s="1358"/>
      <c r="G1091" s="1358"/>
      <c r="H1091" s="1358"/>
      <c r="I1091" s="1361"/>
      <c r="J1091" s="1358"/>
      <c r="K1091" s="1358"/>
      <c r="L1091" s="1365"/>
    </row>
    <row r="1092" spans="1:12" s="1347" customFormat="1">
      <c r="A1092" s="939"/>
      <c r="B1092" s="939"/>
      <c r="C1092" s="939"/>
      <c r="D1092" s="939"/>
      <c r="E1092" s="1360"/>
      <c r="F1092" s="1358"/>
      <c r="G1092" s="1358"/>
      <c r="H1092" s="1358"/>
      <c r="I1092" s="1361"/>
      <c r="J1092" s="1358"/>
      <c r="K1092" s="1358"/>
      <c r="L1092" s="1365"/>
    </row>
    <row r="1093" spans="1:12" s="1347" customFormat="1">
      <c r="A1093" s="939"/>
      <c r="B1093" s="939"/>
      <c r="C1093" s="939"/>
      <c r="D1093" s="939"/>
      <c r="E1093" s="1360"/>
      <c r="F1093" s="1358"/>
      <c r="G1093" s="1358"/>
      <c r="H1093" s="1358"/>
      <c r="I1093" s="1361"/>
      <c r="J1093" s="1358"/>
      <c r="K1093" s="1358"/>
      <c r="L1093" s="1365"/>
    </row>
    <row r="1094" spans="1:12" s="1347" customFormat="1">
      <c r="A1094" s="939"/>
      <c r="B1094" s="939"/>
      <c r="C1094" s="939"/>
      <c r="D1094" s="939"/>
      <c r="E1094" s="1360"/>
      <c r="F1094" s="1358"/>
      <c r="G1094" s="1358"/>
      <c r="H1094" s="1358"/>
      <c r="I1094" s="1361"/>
      <c r="J1094" s="1358"/>
      <c r="K1094" s="1358"/>
      <c r="L1094" s="1365"/>
    </row>
    <row r="1095" spans="1:12" s="1347" customFormat="1">
      <c r="A1095" s="939"/>
      <c r="B1095" s="939"/>
      <c r="C1095" s="939"/>
      <c r="D1095" s="939"/>
      <c r="E1095" s="1360"/>
      <c r="F1095" s="1358"/>
      <c r="G1095" s="1358"/>
      <c r="H1095" s="1358"/>
      <c r="I1095" s="1361"/>
      <c r="J1095" s="1358"/>
      <c r="K1095" s="1358"/>
      <c r="L1095" s="1365"/>
    </row>
    <row r="1096" spans="1:12" s="1347" customFormat="1">
      <c r="A1096" s="939"/>
      <c r="B1096" s="939"/>
      <c r="C1096" s="939"/>
      <c r="D1096" s="939"/>
      <c r="E1096" s="1360"/>
      <c r="F1096" s="1358"/>
      <c r="G1096" s="1358"/>
      <c r="H1096" s="1358"/>
      <c r="I1096" s="1361"/>
      <c r="J1096" s="1358"/>
      <c r="K1096" s="1358"/>
      <c r="L1096" s="1365"/>
    </row>
    <row r="1097" spans="1:12" s="1347" customFormat="1">
      <c r="A1097" s="939"/>
      <c r="B1097" s="939"/>
      <c r="C1097" s="939"/>
      <c r="D1097" s="939"/>
      <c r="E1097" s="1360"/>
      <c r="F1097" s="1358"/>
      <c r="G1097" s="1358"/>
      <c r="H1097" s="1358"/>
      <c r="I1097" s="1361"/>
      <c r="J1097" s="1358"/>
      <c r="K1097" s="1358"/>
      <c r="L1097" s="1365"/>
    </row>
    <row r="1098" spans="1:12" s="1347" customFormat="1">
      <c r="A1098" s="939"/>
      <c r="B1098" s="939"/>
      <c r="C1098" s="939"/>
      <c r="D1098" s="939"/>
      <c r="E1098" s="1360"/>
      <c r="F1098" s="1358"/>
      <c r="G1098" s="1358"/>
      <c r="H1098" s="1358"/>
      <c r="I1098" s="1361"/>
      <c r="J1098" s="1358"/>
      <c r="K1098" s="1358"/>
      <c r="L1098" s="1365"/>
    </row>
    <row r="1099" spans="1:12" s="1347" customFormat="1">
      <c r="A1099" s="939"/>
      <c r="B1099" s="939"/>
      <c r="C1099" s="939"/>
      <c r="D1099" s="939"/>
      <c r="E1099" s="1360"/>
      <c r="F1099" s="1358"/>
      <c r="G1099" s="1358"/>
      <c r="H1099" s="1358"/>
      <c r="I1099" s="1361"/>
      <c r="J1099" s="1358"/>
      <c r="K1099" s="1358"/>
      <c r="L1099" s="1365"/>
    </row>
    <row r="1100" spans="1:12" s="1347" customFormat="1">
      <c r="A1100" s="939"/>
      <c r="B1100" s="939"/>
      <c r="C1100" s="939"/>
      <c r="D1100" s="939"/>
      <c r="E1100" s="1360"/>
      <c r="F1100" s="1358"/>
      <c r="G1100" s="1358"/>
      <c r="H1100" s="1358"/>
      <c r="I1100" s="1361"/>
      <c r="J1100" s="1358"/>
      <c r="K1100" s="1358"/>
      <c r="L1100" s="1365"/>
    </row>
    <row r="1101" spans="1:12" s="1347" customFormat="1">
      <c r="A1101" s="939"/>
      <c r="B1101" s="939"/>
      <c r="C1101" s="939"/>
      <c r="D1101" s="939"/>
      <c r="E1101" s="1360"/>
      <c r="F1101" s="1358"/>
      <c r="G1101" s="1358"/>
      <c r="H1101" s="1358"/>
      <c r="I1101" s="1361"/>
      <c r="J1101" s="1358"/>
      <c r="K1101" s="1358"/>
      <c r="L1101" s="1365"/>
    </row>
    <row r="1102" spans="1:12" s="1347" customFormat="1">
      <c r="A1102" s="939"/>
      <c r="B1102" s="939"/>
      <c r="C1102" s="939"/>
      <c r="D1102" s="939"/>
      <c r="E1102" s="1360"/>
      <c r="F1102" s="1358"/>
      <c r="G1102" s="1358"/>
      <c r="H1102" s="1358"/>
      <c r="I1102" s="1361"/>
      <c r="J1102" s="1358"/>
      <c r="K1102" s="1358"/>
      <c r="L1102" s="1365"/>
    </row>
    <row r="1103" spans="1:12" s="1347" customFormat="1">
      <c r="A1103" s="939"/>
      <c r="B1103" s="939"/>
      <c r="C1103" s="939"/>
      <c r="D1103" s="939"/>
      <c r="E1103" s="1360"/>
      <c r="F1103" s="1358"/>
      <c r="G1103" s="1358"/>
      <c r="H1103" s="1358"/>
      <c r="I1103" s="1361"/>
      <c r="J1103" s="1358"/>
      <c r="K1103" s="1358"/>
      <c r="L1103" s="1365"/>
    </row>
    <row r="1104" spans="1:12" s="1347" customFormat="1">
      <c r="A1104" s="939"/>
      <c r="B1104" s="939"/>
      <c r="C1104" s="939"/>
      <c r="D1104" s="939"/>
      <c r="E1104" s="1360"/>
      <c r="F1104" s="1358"/>
      <c r="G1104" s="1358"/>
      <c r="H1104" s="1358"/>
      <c r="I1104" s="1361"/>
      <c r="J1104" s="1358"/>
      <c r="K1104" s="1358"/>
      <c r="L1104" s="1365"/>
    </row>
    <row r="1105" spans="1:12" s="1347" customFormat="1">
      <c r="A1105" s="939"/>
      <c r="B1105" s="939"/>
      <c r="C1105" s="939"/>
      <c r="D1105" s="939"/>
      <c r="E1105" s="1360"/>
      <c r="F1105" s="1358"/>
      <c r="G1105" s="1358"/>
      <c r="H1105" s="1358"/>
      <c r="I1105" s="1361"/>
      <c r="J1105" s="1358"/>
      <c r="K1105" s="1358"/>
      <c r="L1105" s="1365"/>
    </row>
    <row r="1106" spans="1:12" s="1347" customFormat="1">
      <c r="A1106" s="939"/>
      <c r="B1106" s="939"/>
      <c r="C1106" s="939"/>
      <c r="D1106" s="939"/>
      <c r="E1106" s="1360"/>
      <c r="F1106" s="1358"/>
      <c r="G1106" s="1358"/>
      <c r="H1106" s="1358"/>
      <c r="I1106" s="1361"/>
      <c r="J1106" s="1358"/>
      <c r="K1106" s="1358"/>
      <c r="L1106" s="1365"/>
    </row>
    <row r="1107" spans="1:12" s="1347" customFormat="1">
      <c r="A1107" s="939"/>
      <c r="B1107" s="939"/>
      <c r="C1107" s="939"/>
      <c r="D1107" s="939"/>
      <c r="E1107" s="1360"/>
      <c r="F1107" s="1358"/>
      <c r="G1107" s="1358"/>
      <c r="H1107" s="1358"/>
      <c r="I1107" s="1361"/>
      <c r="J1107" s="1358"/>
      <c r="K1107" s="1358"/>
      <c r="L1107" s="1365"/>
    </row>
    <row r="1108" spans="1:12" s="1347" customFormat="1">
      <c r="A1108" s="939"/>
      <c r="B1108" s="939"/>
      <c r="C1108" s="939"/>
      <c r="D1108" s="939"/>
      <c r="E1108" s="1360"/>
      <c r="F1108" s="1358"/>
      <c r="G1108" s="1358"/>
      <c r="H1108" s="1358"/>
      <c r="I1108" s="1361"/>
      <c r="J1108" s="1358"/>
      <c r="K1108" s="1358"/>
      <c r="L1108" s="1365"/>
    </row>
    <row r="1109" spans="1:12" s="1347" customFormat="1">
      <c r="A1109" s="939"/>
      <c r="B1109" s="939"/>
      <c r="C1109" s="939"/>
      <c r="D1109" s="939"/>
      <c r="E1109" s="1360"/>
      <c r="F1109" s="1358"/>
      <c r="G1109" s="1358"/>
      <c r="H1109" s="1358"/>
      <c r="I1109" s="1361"/>
      <c r="J1109" s="1358"/>
      <c r="K1109" s="1358"/>
      <c r="L1109" s="1365"/>
    </row>
    <row r="1110" spans="1:12" s="1347" customFormat="1">
      <c r="A1110" s="939"/>
      <c r="B1110" s="939"/>
      <c r="C1110" s="939"/>
      <c r="D1110" s="939"/>
      <c r="E1110" s="1360"/>
      <c r="F1110" s="1358"/>
      <c r="G1110" s="1358"/>
      <c r="H1110" s="1358"/>
      <c r="I1110" s="1361"/>
      <c r="J1110" s="1358"/>
      <c r="K1110" s="1358"/>
      <c r="L1110" s="1365"/>
    </row>
    <row r="1111" spans="1:12" s="1347" customFormat="1">
      <c r="A1111" s="939"/>
      <c r="B1111" s="939"/>
      <c r="C1111" s="939"/>
      <c r="D1111" s="939"/>
      <c r="E1111" s="1360"/>
      <c r="F1111" s="1358"/>
      <c r="G1111" s="1358"/>
      <c r="H1111" s="1358"/>
      <c r="I1111" s="1361"/>
      <c r="J1111" s="1358"/>
      <c r="K1111" s="1358"/>
      <c r="L1111" s="1365"/>
    </row>
    <row r="1112" spans="1:12" s="1347" customFormat="1">
      <c r="A1112" s="939"/>
      <c r="B1112" s="939"/>
      <c r="C1112" s="939"/>
      <c r="D1112" s="939"/>
      <c r="E1112" s="1360"/>
      <c r="F1112" s="1358"/>
      <c r="G1112" s="1358"/>
      <c r="H1112" s="1358"/>
      <c r="I1112" s="1361"/>
      <c r="J1112" s="1358"/>
      <c r="K1112" s="1358"/>
      <c r="L1112" s="1365"/>
    </row>
    <row r="1113" spans="1:12" s="1347" customFormat="1">
      <c r="A1113" s="939"/>
      <c r="B1113" s="939"/>
      <c r="C1113" s="939"/>
      <c r="D1113" s="939"/>
      <c r="E1113" s="1360"/>
      <c r="F1113" s="1358"/>
      <c r="G1113" s="1358"/>
      <c r="H1113" s="1358"/>
      <c r="I1113" s="1361"/>
      <c r="J1113" s="1358"/>
      <c r="K1113" s="1358"/>
      <c r="L1113" s="1365"/>
    </row>
    <row r="1114" spans="1:12" s="1347" customFormat="1">
      <c r="A1114" s="939"/>
      <c r="B1114" s="939"/>
      <c r="C1114" s="939"/>
      <c r="D1114" s="939"/>
      <c r="E1114" s="1360"/>
      <c r="F1114" s="1358"/>
      <c r="G1114" s="1358"/>
      <c r="H1114" s="1358"/>
      <c r="I1114" s="1361"/>
      <c r="J1114" s="1358"/>
      <c r="K1114" s="1358"/>
      <c r="L1114" s="1365"/>
    </row>
    <row r="1115" spans="1:12" s="1347" customFormat="1">
      <c r="A1115" s="939"/>
      <c r="B1115" s="939"/>
      <c r="C1115" s="939"/>
      <c r="D1115" s="939"/>
      <c r="E1115" s="1360"/>
      <c r="F1115" s="1358"/>
      <c r="G1115" s="1358"/>
      <c r="H1115" s="1358"/>
      <c r="I1115" s="1361"/>
      <c r="J1115" s="1358"/>
      <c r="K1115" s="1358"/>
      <c r="L1115" s="1365"/>
    </row>
    <row r="1116" spans="1:12" s="1347" customFormat="1">
      <c r="A1116" s="939"/>
      <c r="B1116" s="939"/>
      <c r="C1116" s="939"/>
      <c r="D1116" s="939"/>
      <c r="E1116" s="1360"/>
      <c r="F1116" s="1358"/>
      <c r="G1116" s="1358"/>
      <c r="H1116" s="1358"/>
      <c r="I1116" s="1361"/>
      <c r="J1116" s="1358"/>
      <c r="K1116" s="1358"/>
      <c r="L1116" s="1365"/>
    </row>
    <row r="1117" spans="1:12" s="1347" customFormat="1">
      <c r="A1117" s="939"/>
      <c r="B1117" s="939"/>
      <c r="C1117" s="939"/>
      <c r="D1117" s="939"/>
      <c r="E1117" s="1360"/>
      <c r="F1117" s="1358"/>
      <c r="G1117" s="1358"/>
      <c r="H1117" s="1358"/>
      <c r="I1117" s="1361"/>
      <c r="J1117" s="1358"/>
      <c r="K1117" s="1358"/>
      <c r="L1117" s="1365"/>
    </row>
    <row r="1118" spans="1:12" s="1347" customFormat="1">
      <c r="A1118" s="939"/>
      <c r="B1118" s="939"/>
      <c r="C1118" s="939"/>
      <c r="D1118" s="939"/>
      <c r="E1118" s="1360"/>
      <c r="F1118" s="1358"/>
      <c r="G1118" s="1358"/>
      <c r="H1118" s="1358"/>
      <c r="I1118" s="1361"/>
      <c r="J1118" s="1358"/>
      <c r="K1118" s="1358"/>
      <c r="L1118" s="1365"/>
    </row>
    <row r="1119" spans="1:12" s="1347" customFormat="1">
      <c r="A1119" s="939"/>
      <c r="B1119" s="939"/>
      <c r="C1119" s="939"/>
      <c r="D1119" s="939"/>
      <c r="E1119" s="1360"/>
      <c r="F1119" s="1358"/>
      <c r="G1119" s="1358"/>
      <c r="H1119" s="1358"/>
      <c r="I1119" s="1361"/>
      <c r="J1119" s="1358"/>
      <c r="K1119" s="1358"/>
      <c r="L1119" s="1365"/>
    </row>
    <row r="1120" spans="1:12" s="1347" customFormat="1">
      <c r="A1120" s="939"/>
      <c r="B1120" s="939"/>
      <c r="C1120" s="939"/>
      <c r="D1120" s="939"/>
      <c r="E1120" s="1360"/>
      <c r="F1120" s="1358"/>
      <c r="G1120" s="1358"/>
      <c r="H1120" s="1358"/>
      <c r="I1120" s="1361"/>
      <c r="J1120" s="1358"/>
      <c r="K1120" s="1358"/>
      <c r="L1120" s="1365"/>
    </row>
    <row r="1121" spans="1:12" s="1347" customFormat="1">
      <c r="A1121" s="939"/>
      <c r="B1121" s="939"/>
      <c r="C1121" s="939"/>
      <c r="D1121" s="939"/>
      <c r="E1121" s="1360"/>
      <c r="F1121" s="1358"/>
      <c r="G1121" s="1358"/>
      <c r="H1121" s="1358"/>
      <c r="I1121" s="1361"/>
      <c r="J1121" s="1358"/>
      <c r="K1121" s="1358"/>
      <c r="L1121" s="1365"/>
    </row>
    <row r="1122" spans="1:12" s="1347" customFormat="1">
      <c r="A1122" s="939"/>
      <c r="B1122" s="939"/>
      <c r="C1122" s="939"/>
      <c r="D1122" s="939"/>
      <c r="E1122" s="1360"/>
      <c r="F1122" s="1358"/>
      <c r="G1122" s="1358"/>
      <c r="H1122" s="1358"/>
      <c r="I1122" s="1361"/>
      <c r="J1122" s="1358"/>
      <c r="K1122" s="1358"/>
      <c r="L1122" s="1365"/>
    </row>
    <row r="1123" spans="1:12" s="1347" customFormat="1">
      <c r="A1123" s="939"/>
      <c r="B1123" s="939"/>
      <c r="C1123" s="939"/>
      <c r="D1123" s="939"/>
      <c r="E1123" s="1360"/>
      <c r="F1123" s="1358"/>
      <c r="G1123" s="1358"/>
      <c r="H1123" s="1358"/>
      <c r="I1123" s="1361"/>
      <c r="J1123" s="1358"/>
      <c r="K1123" s="1358"/>
      <c r="L1123" s="1365"/>
    </row>
    <row r="1124" spans="1:12" s="1347" customFormat="1">
      <c r="A1124" s="939"/>
      <c r="B1124" s="939"/>
      <c r="C1124" s="939"/>
      <c r="D1124" s="939"/>
      <c r="E1124" s="1360"/>
      <c r="F1124" s="1358"/>
      <c r="G1124" s="1358"/>
      <c r="H1124" s="1358"/>
      <c r="I1124" s="1361"/>
      <c r="J1124" s="1358"/>
      <c r="K1124" s="1358"/>
      <c r="L1124" s="1365"/>
    </row>
    <row r="1125" spans="1:12" s="1347" customFormat="1">
      <c r="A1125" s="939"/>
      <c r="B1125" s="939"/>
      <c r="C1125" s="939"/>
      <c r="D1125" s="939"/>
      <c r="E1125" s="1360"/>
      <c r="F1125" s="1358"/>
      <c r="G1125" s="1358"/>
      <c r="H1125" s="1358"/>
      <c r="I1125" s="1361"/>
      <c r="J1125" s="1358"/>
      <c r="K1125" s="1358"/>
      <c r="L1125" s="1365"/>
    </row>
    <row r="1126" spans="1:12" s="1347" customFormat="1">
      <c r="A1126" s="939"/>
      <c r="B1126" s="939"/>
      <c r="C1126" s="939"/>
      <c r="D1126" s="939"/>
      <c r="E1126" s="1360"/>
      <c r="F1126" s="1358"/>
      <c r="G1126" s="1358"/>
      <c r="H1126" s="1358"/>
      <c r="I1126" s="1361"/>
      <c r="J1126" s="1358"/>
      <c r="K1126" s="1358"/>
      <c r="L1126" s="1365"/>
    </row>
    <row r="1127" spans="1:12" s="1347" customFormat="1">
      <c r="A1127" s="939"/>
      <c r="B1127" s="939"/>
      <c r="C1127" s="939"/>
      <c r="D1127" s="939"/>
      <c r="E1127" s="1360"/>
      <c r="F1127" s="1358"/>
      <c r="G1127" s="1358"/>
      <c r="H1127" s="1358"/>
      <c r="I1127" s="1361"/>
      <c r="J1127" s="1358"/>
      <c r="K1127" s="1358"/>
      <c r="L1127" s="1365"/>
    </row>
    <row r="1128" spans="1:12" s="1347" customFormat="1">
      <c r="A1128" s="939"/>
      <c r="B1128" s="939"/>
      <c r="C1128" s="939"/>
      <c r="D1128" s="939"/>
      <c r="E1128" s="1360"/>
      <c r="F1128" s="1358"/>
      <c r="G1128" s="1358"/>
      <c r="H1128" s="1358"/>
      <c r="I1128" s="1361"/>
      <c r="J1128" s="1358"/>
      <c r="K1128" s="1358"/>
      <c r="L1128" s="1365"/>
    </row>
    <row r="1129" spans="1:12" s="1347" customFormat="1">
      <c r="A1129" s="939"/>
      <c r="B1129" s="939"/>
      <c r="C1129" s="939"/>
      <c r="D1129" s="939"/>
      <c r="E1129" s="1360"/>
      <c r="F1129" s="1358"/>
      <c r="G1129" s="1358"/>
      <c r="H1129" s="1358"/>
      <c r="I1129" s="1361"/>
      <c r="J1129" s="1358"/>
      <c r="K1129" s="1358"/>
      <c r="L1129" s="1365"/>
    </row>
    <row r="1130" spans="1:12" s="1347" customFormat="1">
      <c r="A1130" s="939"/>
      <c r="B1130" s="939"/>
      <c r="C1130" s="939"/>
      <c r="D1130" s="939"/>
      <c r="E1130" s="1360"/>
      <c r="F1130" s="1358"/>
      <c r="G1130" s="1358"/>
      <c r="H1130" s="1358"/>
      <c r="I1130" s="1361"/>
      <c r="J1130" s="1358"/>
      <c r="K1130" s="1358"/>
      <c r="L1130" s="1365"/>
    </row>
    <row r="1131" spans="1:12" s="1347" customFormat="1">
      <c r="A1131" s="939"/>
      <c r="B1131" s="939"/>
      <c r="C1131" s="939"/>
      <c r="D1131" s="939"/>
      <c r="E1131" s="1360"/>
      <c r="F1131" s="1358"/>
      <c r="G1131" s="1358"/>
      <c r="H1131" s="1358"/>
      <c r="I1131" s="1361"/>
      <c r="J1131" s="1358"/>
      <c r="K1131" s="1358"/>
      <c r="L1131" s="1365"/>
    </row>
    <row r="1132" spans="1:12" s="1347" customFormat="1">
      <c r="A1132" s="939"/>
      <c r="B1132" s="939"/>
      <c r="C1132" s="939"/>
      <c r="D1132" s="939"/>
      <c r="E1132" s="1360"/>
      <c r="F1132" s="1358"/>
      <c r="G1132" s="1358"/>
      <c r="H1132" s="1358"/>
      <c r="I1132" s="1361"/>
      <c r="J1132" s="1358"/>
      <c r="K1132" s="1358"/>
      <c r="L1132" s="1365"/>
    </row>
    <row r="1133" spans="1:12" s="1347" customFormat="1">
      <c r="A1133" s="939"/>
      <c r="B1133" s="939"/>
      <c r="C1133" s="939"/>
      <c r="D1133" s="939"/>
      <c r="E1133" s="1360"/>
      <c r="F1133" s="1358"/>
      <c r="G1133" s="1358"/>
      <c r="H1133" s="1358"/>
      <c r="I1133" s="1361"/>
      <c r="J1133" s="1358"/>
      <c r="K1133" s="1358"/>
      <c r="L1133" s="1365"/>
    </row>
    <row r="1134" spans="1:12" s="1347" customFormat="1">
      <c r="A1134" s="939"/>
      <c r="B1134" s="939"/>
      <c r="C1134" s="939"/>
      <c r="D1134" s="939"/>
      <c r="E1134" s="1360"/>
      <c r="F1134" s="1358"/>
      <c r="G1134" s="1358"/>
      <c r="H1134" s="1358"/>
      <c r="I1134" s="1361"/>
      <c r="J1134" s="1358"/>
      <c r="K1134" s="1358"/>
      <c r="L1134" s="1365"/>
    </row>
    <row r="1135" spans="1:12" s="1347" customFormat="1">
      <c r="A1135" s="939"/>
      <c r="B1135" s="939"/>
      <c r="C1135" s="939"/>
      <c r="D1135" s="939"/>
      <c r="E1135" s="1360"/>
      <c r="F1135" s="1358"/>
      <c r="G1135" s="1358"/>
      <c r="H1135" s="1358"/>
      <c r="I1135" s="1361"/>
      <c r="J1135" s="1358"/>
      <c r="K1135" s="1358"/>
      <c r="L1135" s="1365"/>
    </row>
    <row r="1136" spans="1:12" s="1347" customFormat="1">
      <c r="A1136" s="939"/>
      <c r="B1136" s="939"/>
      <c r="C1136" s="939"/>
      <c r="D1136" s="939"/>
      <c r="E1136" s="1360"/>
      <c r="F1136" s="1358"/>
      <c r="G1136" s="1358"/>
      <c r="H1136" s="1358"/>
      <c r="I1136" s="1361"/>
      <c r="J1136" s="1358"/>
      <c r="K1136" s="1358"/>
      <c r="L1136" s="1365"/>
    </row>
    <row r="1137" spans="1:12" s="1347" customFormat="1">
      <c r="A1137" s="939"/>
      <c r="B1137" s="939"/>
      <c r="C1137" s="939"/>
      <c r="D1137" s="939"/>
      <c r="E1137" s="1360"/>
      <c r="F1137" s="1358"/>
      <c r="G1137" s="1358"/>
      <c r="H1137" s="1358"/>
      <c r="I1137" s="1361"/>
      <c r="J1137" s="1358"/>
      <c r="K1137" s="1358"/>
      <c r="L1137" s="1365"/>
    </row>
    <row r="1138" spans="1:12" s="1347" customFormat="1">
      <c r="A1138" s="939"/>
      <c r="B1138" s="939"/>
      <c r="C1138" s="939"/>
      <c r="D1138" s="939"/>
      <c r="E1138" s="1360"/>
      <c r="F1138" s="1358"/>
      <c r="G1138" s="1358"/>
      <c r="H1138" s="1358"/>
      <c r="I1138" s="1361"/>
      <c r="J1138" s="1358"/>
      <c r="K1138" s="1358"/>
      <c r="L1138" s="1365"/>
    </row>
    <row r="1139" spans="1:12" s="1347" customFormat="1">
      <c r="A1139" s="939"/>
      <c r="B1139" s="939"/>
      <c r="C1139" s="939"/>
      <c r="D1139" s="939"/>
      <c r="E1139" s="1360"/>
      <c r="F1139" s="1358"/>
      <c r="G1139" s="1358"/>
      <c r="H1139" s="1358"/>
      <c r="I1139" s="1361"/>
      <c r="J1139" s="1358"/>
      <c r="K1139" s="1358"/>
      <c r="L1139" s="1365"/>
    </row>
    <row r="1140" spans="1:12" s="1347" customFormat="1">
      <c r="A1140" s="939"/>
      <c r="B1140" s="939"/>
      <c r="C1140" s="939"/>
      <c r="D1140" s="939"/>
      <c r="E1140" s="1360"/>
      <c r="F1140" s="1358"/>
      <c r="G1140" s="1358"/>
      <c r="H1140" s="1358"/>
      <c r="I1140" s="1361"/>
      <c r="J1140" s="1358"/>
      <c r="K1140" s="1358"/>
      <c r="L1140" s="1365"/>
    </row>
    <row r="1141" spans="1:12" s="1347" customFormat="1">
      <c r="A1141" s="939"/>
      <c r="B1141" s="939"/>
      <c r="C1141" s="939"/>
      <c r="D1141" s="939"/>
      <c r="E1141" s="1360"/>
      <c r="F1141" s="1358"/>
      <c r="G1141" s="1358"/>
      <c r="H1141" s="1358"/>
      <c r="I1141" s="1361"/>
      <c r="J1141" s="1358"/>
      <c r="K1141" s="1358"/>
      <c r="L1141" s="1365"/>
    </row>
    <row r="1142" spans="1:12" s="1347" customFormat="1">
      <c r="A1142" s="939"/>
      <c r="B1142" s="939"/>
      <c r="C1142" s="939"/>
      <c r="D1142" s="939"/>
      <c r="E1142" s="1360"/>
      <c r="F1142" s="1358"/>
      <c r="G1142" s="1358"/>
      <c r="H1142" s="1358"/>
      <c r="I1142" s="1361"/>
      <c r="J1142" s="1358"/>
      <c r="K1142" s="1358"/>
      <c r="L1142" s="1365"/>
    </row>
    <row r="1143" spans="1:12" s="1347" customFormat="1">
      <c r="A1143" s="939"/>
      <c r="B1143" s="939"/>
      <c r="C1143" s="939"/>
      <c r="D1143" s="939"/>
      <c r="E1143" s="1360"/>
      <c r="F1143" s="1358"/>
      <c r="G1143" s="1358"/>
      <c r="H1143" s="1358"/>
      <c r="I1143" s="1361"/>
      <c r="J1143" s="1358"/>
      <c r="K1143" s="1358"/>
      <c r="L1143" s="1365"/>
    </row>
    <row r="1144" spans="1:12" s="1347" customFormat="1">
      <c r="A1144" s="939"/>
      <c r="B1144" s="939"/>
      <c r="C1144" s="939"/>
      <c r="D1144" s="939"/>
      <c r="E1144" s="1360"/>
      <c r="F1144" s="1358"/>
      <c r="G1144" s="1358"/>
      <c r="H1144" s="1358"/>
      <c r="I1144" s="1361"/>
      <c r="J1144" s="1358"/>
      <c r="K1144" s="1358"/>
      <c r="L1144" s="1365"/>
    </row>
    <row r="1145" spans="1:12" s="1347" customFormat="1">
      <c r="A1145" s="939"/>
      <c r="B1145" s="939"/>
      <c r="C1145" s="939"/>
      <c r="D1145" s="939"/>
      <c r="E1145" s="1360"/>
      <c r="F1145" s="1358"/>
      <c r="G1145" s="1358"/>
      <c r="H1145" s="1358"/>
      <c r="I1145" s="1361"/>
      <c r="J1145" s="1358"/>
      <c r="K1145" s="1358"/>
      <c r="L1145" s="1365"/>
    </row>
    <row r="1146" spans="1:12" s="1347" customFormat="1">
      <c r="A1146" s="939"/>
      <c r="B1146" s="939"/>
      <c r="C1146" s="939"/>
      <c r="D1146" s="939"/>
      <c r="E1146" s="1360"/>
      <c r="F1146" s="1358"/>
      <c r="G1146" s="1358"/>
      <c r="H1146" s="1358"/>
      <c r="I1146" s="1361"/>
      <c r="J1146" s="1358"/>
      <c r="K1146" s="1358"/>
      <c r="L1146" s="1365"/>
    </row>
    <row r="1147" spans="1:12" s="1347" customFormat="1">
      <c r="A1147" s="939"/>
      <c r="B1147" s="939"/>
      <c r="C1147" s="939"/>
      <c r="D1147" s="939"/>
      <c r="E1147" s="1360"/>
      <c r="F1147" s="1358"/>
      <c r="G1147" s="1358"/>
      <c r="H1147" s="1358"/>
      <c r="I1147" s="1361"/>
      <c r="J1147" s="1358"/>
      <c r="K1147" s="1358"/>
      <c r="L1147" s="1365"/>
    </row>
    <row r="1148" spans="1:12" s="1347" customFormat="1">
      <c r="A1148" s="939"/>
      <c r="B1148" s="939"/>
      <c r="C1148" s="939"/>
      <c r="D1148" s="939"/>
      <c r="E1148" s="1360"/>
      <c r="F1148" s="1358"/>
      <c r="G1148" s="1358"/>
      <c r="H1148" s="1358"/>
      <c r="I1148" s="1361"/>
      <c r="J1148" s="1358"/>
      <c r="K1148" s="1358"/>
      <c r="L1148" s="1365"/>
    </row>
    <row r="1149" spans="1:12" s="1347" customFormat="1">
      <c r="A1149" s="939"/>
      <c r="B1149" s="939"/>
      <c r="C1149" s="939"/>
      <c r="D1149" s="939"/>
      <c r="E1149" s="1360"/>
      <c r="F1149" s="1358"/>
      <c r="G1149" s="1358"/>
      <c r="H1149" s="1358"/>
      <c r="I1149" s="1361"/>
      <c r="J1149" s="1358"/>
      <c r="K1149" s="1358"/>
      <c r="L1149" s="1365"/>
    </row>
    <row r="1150" spans="1:12">
      <c r="A1150" s="939"/>
      <c r="B1150" s="939"/>
      <c r="C1150" s="939"/>
      <c r="D1150" s="939"/>
    </row>
    <row r="1151" spans="1:12">
      <c r="A1151" s="939"/>
      <c r="B1151" s="939"/>
      <c r="C1151" s="939"/>
      <c r="D1151" s="939"/>
    </row>
    <row r="1152" spans="1:12">
      <c r="A1152" s="939"/>
      <c r="B1152" s="939"/>
      <c r="C1152" s="939"/>
      <c r="D1152" s="939"/>
    </row>
    <row r="1153" spans="1:81">
      <c r="A1153" s="939"/>
      <c r="B1153" s="939"/>
      <c r="C1153" s="939"/>
      <c r="D1153" s="939"/>
    </row>
    <row r="1154" spans="1:81" s="1360" customFormat="1">
      <c r="A1154" s="939"/>
      <c r="B1154" s="939"/>
      <c r="C1154" s="939"/>
      <c r="D1154" s="939"/>
      <c r="F1154" s="1358"/>
      <c r="G1154" s="1358"/>
      <c r="H1154" s="1358"/>
      <c r="I1154" s="1361"/>
      <c r="J1154" s="1358"/>
      <c r="K1154" s="1358"/>
      <c r="L1154" s="1366"/>
      <c r="M1154" s="161"/>
      <c r="N1154" s="161"/>
      <c r="O1154" s="161"/>
      <c r="P1154" s="161"/>
      <c r="Q1154" s="161"/>
      <c r="R1154" s="161"/>
      <c r="S1154" s="161"/>
      <c r="T1154" s="161"/>
      <c r="U1154" s="161"/>
      <c r="V1154" s="161"/>
      <c r="W1154" s="161"/>
      <c r="X1154" s="161"/>
      <c r="Y1154" s="161"/>
      <c r="Z1154" s="161"/>
      <c r="AA1154" s="161"/>
      <c r="AB1154" s="161"/>
      <c r="AC1154" s="161"/>
      <c r="AD1154" s="161"/>
      <c r="AE1154" s="161"/>
      <c r="AF1154" s="161"/>
      <c r="AG1154" s="161"/>
      <c r="AH1154" s="161"/>
      <c r="AI1154" s="161"/>
      <c r="AJ1154" s="161"/>
      <c r="AK1154" s="161"/>
      <c r="AL1154" s="161"/>
      <c r="AM1154" s="161"/>
      <c r="AN1154" s="161"/>
      <c r="AO1154" s="161"/>
      <c r="AP1154" s="161"/>
      <c r="AQ1154" s="161"/>
      <c r="AR1154" s="161"/>
      <c r="AS1154" s="161"/>
      <c r="AT1154" s="161"/>
      <c r="AU1154" s="161"/>
      <c r="AV1154" s="161"/>
      <c r="AW1154" s="161"/>
      <c r="AX1154" s="161"/>
      <c r="AY1154" s="161"/>
      <c r="AZ1154" s="161"/>
      <c r="BA1154" s="161"/>
      <c r="BB1154" s="161"/>
      <c r="BC1154" s="161"/>
      <c r="BD1154" s="161"/>
      <c r="BE1154" s="161"/>
      <c r="BF1154" s="161"/>
      <c r="BG1154" s="161"/>
      <c r="BH1154" s="161"/>
      <c r="BI1154" s="161"/>
      <c r="BJ1154" s="161"/>
      <c r="BK1154" s="161"/>
      <c r="BL1154" s="161"/>
      <c r="BM1154" s="161"/>
      <c r="BN1154" s="161"/>
      <c r="BO1154" s="161"/>
      <c r="BP1154" s="161"/>
      <c r="BQ1154" s="161"/>
      <c r="BR1154" s="161"/>
      <c r="BS1154" s="161"/>
      <c r="BT1154" s="161"/>
      <c r="BU1154" s="161"/>
      <c r="BV1154" s="161"/>
      <c r="BW1154" s="161"/>
      <c r="BX1154" s="161"/>
      <c r="BY1154" s="161"/>
      <c r="BZ1154" s="161"/>
      <c r="CA1154" s="161"/>
      <c r="CB1154" s="161"/>
      <c r="CC1154" s="161"/>
    </row>
    <row r="1155" spans="1:81" s="1360" customFormat="1">
      <c r="A1155" s="939"/>
      <c r="B1155" s="939"/>
      <c r="C1155" s="939"/>
      <c r="D1155" s="939"/>
      <c r="F1155" s="1358"/>
      <c r="G1155" s="1358"/>
      <c r="H1155" s="1358"/>
      <c r="I1155" s="1361"/>
      <c r="J1155" s="1358"/>
      <c r="K1155" s="1358"/>
      <c r="L1155" s="1366"/>
      <c r="M1155" s="161"/>
      <c r="N1155" s="161"/>
      <c r="O1155" s="161"/>
      <c r="P1155" s="161"/>
      <c r="Q1155" s="161"/>
      <c r="R1155" s="161"/>
      <c r="S1155" s="161"/>
      <c r="T1155" s="161"/>
      <c r="U1155" s="161"/>
      <c r="V1155" s="161"/>
      <c r="W1155" s="161"/>
      <c r="X1155" s="161"/>
      <c r="Y1155" s="161"/>
      <c r="Z1155" s="161"/>
      <c r="AA1155" s="161"/>
      <c r="AB1155" s="161"/>
      <c r="AC1155" s="161"/>
      <c r="AD1155" s="161"/>
      <c r="AE1155" s="161"/>
      <c r="AF1155" s="161"/>
      <c r="AG1155" s="161"/>
      <c r="AH1155" s="161"/>
      <c r="AI1155" s="161"/>
      <c r="AJ1155" s="161"/>
      <c r="AK1155" s="161"/>
      <c r="AL1155" s="161"/>
      <c r="AM1155" s="161"/>
      <c r="AN1155" s="161"/>
      <c r="AO1155" s="161"/>
      <c r="AP1155" s="161"/>
      <c r="AQ1155" s="161"/>
      <c r="AR1155" s="161"/>
      <c r="AS1155" s="161"/>
      <c r="AT1155" s="161"/>
      <c r="AU1155" s="161"/>
      <c r="AV1155" s="161"/>
      <c r="AW1155" s="161"/>
      <c r="AX1155" s="161"/>
      <c r="AY1155" s="161"/>
      <c r="AZ1155" s="161"/>
      <c r="BA1155" s="161"/>
      <c r="BB1155" s="161"/>
      <c r="BC1155" s="161"/>
      <c r="BD1155" s="161"/>
      <c r="BE1155" s="161"/>
      <c r="BF1155" s="161"/>
      <c r="BG1155" s="161"/>
      <c r="BH1155" s="161"/>
      <c r="BI1155" s="161"/>
      <c r="BJ1155" s="161"/>
      <c r="BK1155" s="161"/>
      <c r="BL1155" s="161"/>
      <c r="BM1155" s="161"/>
      <c r="BN1155" s="161"/>
      <c r="BO1155" s="161"/>
      <c r="BP1155" s="161"/>
      <c r="BQ1155" s="161"/>
      <c r="BR1155" s="161"/>
      <c r="BS1155" s="161"/>
      <c r="BT1155" s="161"/>
      <c r="BU1155" s="161"/>
      <c r="BV1155" s="161"/>
      <c r="BW1155" s="161"/>
      <c r="BX1155" s="161"/>
      <c r="BY1155" s="161"/>
      <c r="BZ1155" s="161"/>
      <c r="CA1155" s="161"/>
      <c r="CB1155" s="161"/>
      <c r="CC1155" s="161"/>
    </row>
    <row r="1156" spans="1:81" s="1360" customFormat="1">
      <c r="A1156" s="939"/>
      <c r="B1156" s="939"/>
      <c r="C1156" s="939"/>
      <c r="D1156" s="939"/>
      <c r="F1156" s="1358"/>
      <c r="G1156" s="1358"/>
      <c r="H1156" s="1358"/>
      <c r="I1156" s="1361"/>
      <c r="J1156" s="1358"/>
      <c r="K1156" s="1358"/>
      <c r="L1156" s="1366"/>
      <c r="M1156" s="161"/>
      <c r="N1156" s="161"/>
      <c r="O1156" s="161"/>
      <c r="P1156" s="161"/>
      <c r="Q1156" s="161"/>
      <c r="R1156" s="161"/>
      <c r="S1156" s="161"/>
      <c r="T1156" s="161"/>
      <c r="U1156" s="161"/>
      <c r="V1156" s="161"/>
      <c r="W1156" s="161"/>
      <c r="X1156" s="161"/>
      <c r="Y1156" s="161"/>
      <c r="Z1156" s="161"/>
      <c r="AA1156" s="161"/>
      <c r="AB1156" s="161"/>
      <c r="AC1156" s="161"/>
      <c r="AD1156" s="161"/>
      <c r="AE1156" s="161"/>
      <c r="AF1156" s="161"/>
      <c r="AG1156" s="161"/>
      <c r="AH1156" s="161"/>
      <c r="AI1156" s="161"/>
      <c r="AJ1156" s="161"/>
      <c r="AK1156" s="161"/>
      <c r="AL1156" s="161"/>
      <c r="AM1156" s="161"/>
      <c r="AN1156" s="161"/>
      <c r="AO1156" s="161"/>
      <c r="AP1156" s="161"/>
      <c r="AQ1156" s="161"/>
      <c r="AR1156" s="161"/>
      <c r="AS1156" s="161"/>
      <c r="AT1156" s="161"/>
      <c r="AU1156" s="161"/>
      <c r="AV1156" s="161"/>
      <c r="AW1156" s="161"/>
      <c r="AX1156" s="161"/>
      <c r="AY1156" s="161"/>
      <c r="AZ1156" s="161"/>
      <c r="BA1156" s="161"/>
      <c r="BB1156" s="161"/>
      <c r="BC1156" s="161"/>
      <c r="BD1156" s="161"/>
      <c r="BE1156" s="161"/>
      <c r="BF1156" s="161"/>
      <c r="BG1156" s="161"/>
      <c r="BH1156" s="161"/>
      <c r="BI1156" s="161"/>
      <c r="BJ1156" s="161"/>
      <c r="BK1156" s="161"/>
      <c r="BL1156" s="161"/>
      <c r="BM1156" s="161"/>
      <c r="BN1156" s="161"/>
      <c r="BO1156" s="161"/>
      <c r="BP1156" s="161"/>
      <c r="BQ1156" s="161"/>
      <c r="BR1156" s="161"/>
      <c r="BS1156" s="161"/>
      <c r="BT1156" s="161"/>
      <c r="BU1156" s="161"/>
      <c r="BV1156" s="161"/>
      <c r="BW1156" s="161"/>
      <c r="BX1156" s="161"/>
      <c r="BY1156" s="161"/>
      <c r="BZ1156" s="161"/>
      <c r="CA1156" s="161"/>
      <c r="CB1156" s="161"/>
      <c r="CC1156" s="161"/>
    </row>
    <row r="1157" spans="1:81" s="1360" customFormat="1">
      <c r="A1157" s="1367"/>
      <c r="B1157" s="939"/>
      <c r="C1157" s="939"/>
      <c r="D1157" s="939"/>
      <c r="F1157" s="1358"/>
      <c r="G1157" s="1358"/>
      <c r="H1157" s="1358"/>
      <c r="I1157" s="1361"/>
      <c r="J1157" s="1358"/>
      <c r="K1157" s="1358"/>
      <c r="L1157" s="1366"/>
      <c r="M1157" s="161"/>
      <c r="N1157" s="161"/>
      <c r="O1157" s="161"/>
      <c r="P1157" s="161"/>
      <c r="Q1157" s="161"/>
      <c r="R1157" s="161"/>
      <c r="S1157" s="161"/>
      <c r="T1157" s="161"/>
      <c r="U1157" s="161"/>
      <c r="V1157" s="161"/>
      <c r="W1157" s="161"/>
      <c r="X1157" s="161"/>
      <c r="Y1157" s="161"/>
      <c r="Z1157" s="161"/>
      <c r="AA1157" s="161"/>
      <c r="AB1157" s="161"/>
      <c r="AC1157" s="161"/>
      <c r="AD1157" s="161"/>
      <c r="AE1157" s="161"/>
      <c r="AF1157" s="161"/>
      <c r="AG1157" s="161"/>
      <c r="AH1157" s="161"/>
      <c r="AI1157" s="161"/>
      <c r="AJ1157" s="161"/>
      <c r="AK1157" s="161"/>
      <c r="AL1157" s="161"/>
      <c r="AM1157" s="161"/>
      <c r="AN1157" s="161"/>
      <c r="AO1157" s="161"/>
      <c r="AP1157" s="161"/>
      <c r="AQ1157" s="161"/>
      <c r="AR1157" s="161"/>
      <c r="AS1157" s="161"/>
      <c r="AT1157" s="161"/>
      <c r="AU1157" s="161"/>
      <c r="AV1157" s="161"/>
      <c r="AW1157" s="161"/>
      <c r="AX1157" s="161"/>
      <c r="AY1157" s="161"/>
      <c r="AZ1157" s="161"/>
      <c r="BA1157" s="161"/>
      <c r="BB1157" s="161"/>
      <c r="BC1157" s="161"/>
      <c r="BD1157" s="161"/>
      <c r="BE1157" s="161"/>
      <c r="BF1157" s="161"/>
      <c r="BG1157" s="161"/>
      <c r="BH1157" s="161"/>
      <c r="BI1157" s="161"/>
      <c r="BJ1157" s="161"/>
      <c r="BK1157" s="161"/>
      <c r="BL1157" s="161"/>
      <c r="BM1157" s="161"/>
      <c r="BN1157" s="161"/>
      <c r="BO1157" s="161"/>
      <c r="BP1157" s="161"/>
      <c r="BQ1157" s="161"/>
      <c r="BR1157" s="161"/>
      <c r="BS1157" s="161"/>
      <c r="BT1157" s="161"/>
      <c r="BU1157" s="161"/>
      <c r="BV1157" s="161"/>
      <c r="BW1157" s="161"/>
      <c r="BX1157" s="161"/>
      <c r="BY1157" s="161"/>
      <c r="BZ1157" s="161"/>
      <c r="CA1157" s="161"/>
      <c r="CB1157" s="161"/>
      <c r="CC1157" s="161"/>
    </row>
    <row r="1158" spans="1:81" s="1360" customFormat="1">
      <c r="A1158" s="1367"/>
      <c r="B1158" s="939"/>
      <c r="C1158" s="939"/>
      <c r="D1158" s="939"/>
      <c r="F1158" s="1358"/>
      <c r="G1158" s="1358"/>
      <c r="H1158" s="1358"/>
      <c r="I1158" s="1361"/>
      <c r="J1158" s="1358"/>
      <c r="K1158" s="1358"/>
      <c r="L1158" s="1366"/>
      <c r="M1158" s="161"/>
      <c r="N1158" s="161"/>
      <c r="O1158" s="161"/>
      <c r="P1158" s="161"/>
      <c r="Q1158" s="161"/>
      <c r="R1158" s="161"/>
      <c r="S1158" s="161"/>
      <c r="T1158" s="161"/>
      <c r="U1158" s="161"/>
      <c r="V1158" s="161"/>
      <c r="W1158" s="161"/>
      <c r="X1158" s="161"/>
      <c r="Y1158" s="161"/>
      <c r="Z1158" s="161"/>
      <c r="AA1158" s="161"/>
      <c r="AB1158" s="161"/>
      <c r="AC1158" s="161"/>
      <c r="AD1158" s="161"/>
      <c r="AE1158" s="161"/>
      <c r="AF1158" s="161"/>
      <c r="AG1158" s="161"/>
      <c r="AH1158" s="161"/>
      <c r="AI1158" s="161"/>
      <c r="AJ1158" s="161"/>
      <c r="AK1158" s="161"/>
      <c r="AL1158" s="161"/>
      <c r="AM1158" s="161"/>
      <c r="AN1158" s="161"/>
      <c r="AO1158" s="161"/>
      <c r="AP1158" s="161"/>
      <c r="AQ1158" s="161"/>
      <c r="AR1158" s="161"/>
      <c r="AS1158" s="161"/>
      <c r="AT1158" s="161"/>
      <c r="AU1158" s="161"/>
      <c r="AV1158" s="161"/>
      <c r="AW1158" s="161"/>
      <c r="AX1158" s="161"/>
      <c r="AY1158" s="161"/>
      <c r="AZ1158" s="161"/>
      <c r="BA1158" s="161"/>
      <c r="BB1158" s="161"/>
      <c r="BC1158" s="161"/>
      <c r="BD1158" s="161"/>
      <c r="BE1158" s="161"/>
      <c r="BF1158" s="161"/>
      <c r="BG1158" s="161"/>
      <c r="BH1158" s="161"/>
      <c r="BI1158" s="161"/>
      <c r="BJ1158" s="161"/>
      <c r="BK1158" s="161"/>
      <c r="BL1158" s="161"/>
      <c r="BM1158" s="161"/>
      <c r="BN1158" s="161"/>
      <c r="BO1158" s="161"/>
      <c r="BP1158" s="161"/>
      <c r="BQ1158" s="161"/>
      <c r="BR1158" s="161"/>
      <c r="BS1158" s="161"/>
      <c r="BT1158" s="161"/>
      <c r="BU1158" s="161"/>
      <c r="BV1158" s="161"/>
      <c r="BW1158" s="161"/>
      <c r="BX1158" s="161"/>
      <c r="BY1158" s="161"/>
      <c r="BZ1158" s="161"/>
      <c r="CA1158" s="161"/>
      <c r="CB1158" s="161"/>
      <c r="CC1158" s="161"/>
    </row>
    <row r="1159" spans="1:81" s="1360" customFormat="1">
      <c r="A1159" s="1367"/>
      <c r="B1159" s="939"/>
      <c r="C1159" s="939"/>
      <c r="D1159" s="939"/>
      <c r="F1159" s="1358"/>
      <c r="G1159" s="1358"/>
      <c r="H1159" s="1358"/>
      <c r="I1159" s="1361"/>
      <c r="J1159" s="1358"/>
      <c r="K1159" s="1358"/>
      <c r="L1159" s="1366"/>
      <c r="M1159" s="161"/>
      <c r="N1159" s="161"/>
      <c r="O1159" s="161"/>
      <c r="P1159" s="161"/>
      <c r="Q1159" s="161"/>
      <c r="R1159" s="161"/>
      <c r="S1159" s="161"/>
      <c r="T1159" s="161"/>
      <c r="U1159" s="161"/>
      <c r="V1159" s="161"/>
      <c r="W1159" s="161"/>
      <c r="X1159" s="161"/>
      <c r="Y1159" s="161"/>
      <c r="Z1159" s="161"/>
      <c r="AA1159" s="161"/>
      <c r="AB1159" s="161"/>
      <c r="AC1159" s="161"/>
      <c r="AD1159" s="161"/>
      <c r="AE1159" s="161"/>
      <c r="AF1159" s="161"/>
      <c r="AG1159" s="161"/>
      <c r="AH1159" s="161"/>
      <c r="AI1159" s="161"/>
      <c r="AJ1159" s="161"/>
      <c r="AK1159" s="161"/>
      <c r="AL1159" s="161"/>
      <c r="AM1159" s="161"/>
      <c r="AN1159" s="161"/>
      <c r="AO1159" s="161"/>
      <c r="AP1159" s="161"/>
      <c r="AQ1159" s="161"/>
      <c r="AR1159" s="161"/>
      <c r="AS1159" s="161"/>
      <c r="AT1159" s="161"/>
      <c r="AU1159" s="161"/>
      <c r="AV1159" s="161"/>
      <c r="AW1159" s="161"/>
      <c r="AX1159" s="161"/>
      <c r="AY1159" s="161"/>
      <c r="AZ1159" s="161"/>
      <c r="BA1159" s="161"/>
      <c r="BB1159" s="161"/>
      <c r="BC1159" s="161"/>
      <c r="BD1159" s="161"/>
      <c r="BE1159" s="161"/>
      <c r="BF1159" s="161"/>
      <c r="BG1159" s="161"/>
      <c r="BH1159" s="161"/>
      <c r="BI1159" s="161"/>
      <c r="BJ1159" s="161"/>
      <c r="BK1159" s="161"/>
      <c r="BL1159" s="161"/>
      <c r="BM1159" s="161"/>
      <c r="BN1159" s="161"/>
      <c r="BO1159" s="161"/>
      <c r="BP1159" s="161"/>
      <c r="BQ1159" s="161"/>
      <c r="BR1159" s="161"/>
      <c r="BS1159" s="161"/>
      <c r="BT1159" s="161"/>
      <c r="BU1159" s="161"/>
      <c r="BV1159" s="161"/>
      <c r="BW1159" s="161"/>
      <c r="BX1159" s="161"/>
      <c r="BY1159" s="161"/>
      <c r="BZ1159" s="161"/>
      <c r="CA1159" s="161"/>
      <c r="CB1159" s="161"/>
      <c r="CC1159" s="161"/>
    </row>
    <row r="1160" spans="1:81" s="1360" customFormat="1">
      <c r="A1160" s="1367"/>
      <c r="B1160" s="939"/>
      <c r="C1160" s="939"/>
      <c r="D1160" s="939"/>
      <c r="F1160" s="1358"/>
      <c r="G1160" s="1358"/>
      <c r="H1160" s="1358"/>
      <c r="I1160" s="1361"/>
      <c r="J1160" s="1358"/>
      <c r="K1160" s="1358"/>
      <c r="L1160" s="1366"/>
      <c r="M1160" s="161"/>
      <c r="N1160" s="161"/>
      <c r="O1160" s="161"/>
      <c r="P1160" s="161"/>
      <c r="Q1160" s="161"/>
      <c r="R1160" s="161"/>
      <c r="S1160" s="161"/>
      <c r="T1160" s="161"/>
      <c r="U1160" s="161"/>
      <c r="V1160" s="161"/>
      <c r="W1160" s="161"/>
      <c r="X1160" s="161"/>
      <c r="Y1160" s="161"/>
      <c r="Z1160" s="161"/>
      <c r="AA1160" s="161"/>
      <c r="AB1160" s="161"/>
      <c r="AC1160" s="161"/>
      <c r="AD1160" s="161"/>
      <c r="AE1160" s="161"/>
      <c r="AF1160" s="161"/>
      <c r="AG1160" s="161"/>
      <c r="AH1160" s="161"/>
      <c r="AI1160" s="161"/>
      <c r="AJ1160" s="161"/>
      <c r="AK1160" s="161"/>
      <c r="AL1160" s="161"/>
      <c r="AM1160" s="161"/>
      <c r="AN1160" s="161"/>
      <c r="AO1160" s="161"/>
      <c r="AP1160" s="161"/>
      <c r="AQ1160" s="161"/>
      <c r="AR1160" s="161"/>
      <c r="AS1160" s="161"/>
      <c r="AT1160" s="161"/>
      <c r="AU1160" s="161"/>
      <c r="AV1160" s="161"/>
      <c r="AW1160" s="161"/>
      <c r="AX1160" s="161"/>
      <c r="AY1160" s="161"/>
      <c r="AZ1160" s="161"/>
      <c r="BA1160" s="161"/>
      <c r="BB1160" s="161"/>
      <c r="BC1160" s="161"/>
      <c r="BD1160" s="161"/>
      <c r="BE1160" s="161"/>
      <c r="BF1160" s="161"/>
      <c r="BG1160" s="161"/>
      <c r="BH1160" s="161"/>
      <c r="BI1160" s="161"/>
      <c r="BJ1160" s="161"/>
      <c r="BK1160" s="161"/>
      <c r="BL1160" s="161"/>
      <c r="BM1160" s="161"/>
      <c r="BN1160" s="161"/>
      <c r="BO1160" s="161"/>
      <c r="BP1160" s="161"/>
      <c r="BQ1160" s="161"/>
      <c r="BR1160" s="161"/>
      <c r="BS1160" s="161"/>
      <c r="BT1160" s="161"/>
      <c r="BU1160" s="161"/>
      <c r="BV1160" s="161"/>
      <c r="BW1160" s="161"/>
      <c r="BX1160" s="161"/>
      <c r="BY1160" s="161"/>
      <c r="BZ1160" s="161"/>
      <c r="CA1160" s="161"/>
      <c r="CB1160" s="161"/>
      <c r="CC1160" s="161"/>
    </row>
  </sheetData>
  <mergeCells count="272">
    <mergeCell ref="A1:L1"/>
    <mergeCell ref="A2:E2"/>
    <mergeCell ref="A5:A6"/>
    <mergeCell ref="B5:B6"/>
    <mergeCell ref="C5:C6"/>
    <mergeCell ref="D5:D6"/>
    <mergeCell ref="E5:E6"/>
    <mergeCell ref="F5:F6"/>
    <mergeCell ref="G5:G6"/>
    <mergeCell ref="H5:H6"/>
    <mergeCell ref="B14:C14"/>
    <mergeCell ref="B17:C17"/>
    <mergeCell ref="B19:B22"/>
    <mergeCell ref="L19:L20"/>
    <mergeCell ref="B23:C23"/>
    <mergeCell ref="B25:C25"/>
    <mergeCell ref="I5:I6"/>
    <mergeCell ref="J5:J6"/>
    <mergeCell ref="K5:K6"/>
    <mergeCell ref="L5:L6"/>
    <mergeCell ref="B10:C10"/>
    <mergeCell ref="B11:B13"/>
    <mergeCell ref="C11:C13"/>
    <mergeCell ref="L11:L13"/>
    <mergeCell ref="L42:L43"/>
    <mergeCell ref="B44:C44"/>
    <mergeCell ref="A46:A49"/>
    <mergeCell ref="B47:C47"/>
    <mergeCell ref="B49:C49"/>
    <mergeCell ref="B52:C52"/>
    <mergeCell ref="B26:B27"/>
    <mergeCell ref="B30:C30"/>
    <mergeCell ref="B33:C33"/>
    <mergeCell ref="B38:C38"/>
    <mergeCell ref="A40:A44"/>
    <mergeCell ref="B41:C41"/>
    <mergeCell ref="B42:B43"/>
    <mergeCell ref="C70:C71"/>
    <mergeCell ref="B77:C77"/>
    <mergeCell ref="B81:C81"/>
    <mergeCell ref="B83:C83"/>
    <mergeCell ref="B89:C89"/>
    <mergeCell ref="B92:B94"/>
    <mergeCell ref="B53:B55"/>
    <mergeCell ref="B56:C56"/>
    <mergeCell ref="D57:D58"/>
    <mergeCell ref="B60:C60"/>
    <mergeCell ref="B65:C65"/>
    <mergeCell ref="B68:C68"/>
    <mergeCell ref="B108:C108"/>
    <mergeCell ref="D109:D110"/>
    <mergeCell ref="B119:C119"/>
    <mergeCell ref="B121:C121"/>
    <mergeCell ref="B123:C123"/>
    <mergeCell ref="B125:B126"/>
    <mergeCell ref="B95:C95"/>
    <mergeCell ref="B97:C97"/>
    <mergeCell ref="B98:B99"/>
    <mergeCell ref="B100:C100"/>
    <mergeCell ref="B102:C102"/>
    <mergeCell ref="B103:B107"/>
    <mergeCell ref="C103:C105"/>
    <mergeCell ref="B142:C142"/>
    <mergeCell ref="B143:B146"/>
    <mergeCell ref="B147:C147"/>
    <mergeCell ref="B152:C152"/>
    <mergeCell ref="B153:B155"/>
    <mergeCell ref="C153:C155"/>
    <mergeCell ref="B127:C127"/>
    <mergeCell ref="A129:A139"/>
    <mergeCell ref="B130:C130"/>
    <mergeCell ref="B131:B134"/>
    <mergeCell ref="B135:C135"/>
    <mergeCell ref="B137:C137"/>
    <mergeCell ref="B139:C139"/>
    <mergeCell ref="B168:C168"/>
    <mergeCell ref="B170:C170"/>
    <mergeCell ref="B172:C172"/>
    <mergeCell ref="A174:A177"/>
    <mergeCell ref="B175:C175"/>
    <mergeCell ref="B177:C177"/>
    <mergeCell ref="L153:L155"/>
    <mergeCell ref="B156:C156"/>
    <mergeCell ref="B158:C158"/>
    <mergeCell ref="B160:C160"/>
    <mergeCell ref="B162:C162"/>
    <mergeCell ref="C163:C164"/>
    <mergeCell ref="B181:C181"/>
    <mergeCell ref="B184:C184"/>
    <mergeCell ref="B186:C186"/>
    <mergeCell ref="B187:B189"/>
    <mergeCell ref="C188:C189"/>
    <mergeCell ref="A189:A197"/>
    <mergeCell ref="B190:C190"/>
    <mergeCell ref="B192:C192"/>
    <mergeCell ref="B193:B196"/>
    <mergeCell ref="B219:C219"/>
    <mergeCell ref="B223:C223"/>
    <mergeCell ref="B226:C226"/>
    <mergeCell ref="B228:C228"/>
    <mergeCell ref="B229:B230"/>
    <mergeCell ref="B231:C231"/>
    <mergeCell ref="D194:D195"/>
    <mergeCell ref="B197:C197"/>
    <mergeCell ref="B200:C200"/>
    <mergeCell ref="B203:C203"/>
    <mergeCell ref="B205:C205"/>
    <mergeCell ref="B206:B216"/>
    <mergeCell ref="C206:C215"/>
    <mergeCell ref="D245:D247"/>
    <mergeCell ref="D248:D252"/>
    <mergeCell ref="D253:D254"/>
    <mergeCell ref="D255:D256"/>
    <mergeCell ref="D257:D259"/>
    <mergeCell ref="B263:C263"/>
    <mergeCell ref="B233:C233"/>
    <mergeCell ref="B235:C235"/>
    <mergeCell ref="B237:C237"/>
    <mergeCell ref="B239:C239"/>
    <mergeCell ref="B241:C241"/>
    <mergeCell ref="D243:D244"/>
    <mergeCell ref="A283:A293"/>
    <mergeCell ref="B284:C284"/>
    <mergeCell ref="B285:B287"/>
    <mergeCell ref="B288:C288"/>
    <mergeCell ref="B290:C290"/>
    <mergeCell ref="B291:B292"/>
    <mergeCell ref="B293:C293"/>
    <mergeCell ref="D266:D267"/>
    <mergeCell ref="B273:C273"/>
    <mergeCell ref="B275:C275"/>
    <mergeCell ref="B278:C278"/>
    <mergeCell ref="B279:B280"/>
    <mergeCell ref="B281:C281"/>
    <mergeCell ref="B308:C308"/>
    <mergeCell ref="B310:C310"/>
    <mergeCell ref="B311:B312"/>
    <mergeCell ref="B313:C313"/>
    <mergeCell ref="B315:C315"/>
    <mergeCell ref="B316:C316"/>
    <mergeCell ref="B296:C296"/>
    <mergeCell ref="B298:C298"/>
    <mergeCell ref="B300:C300"/>
    <mergeCell ref="B301:B302"/>
    <mergeCell ref="B303:C303"/>
    <mergeCell ref="B306:C306"/>
    <mergeCell ref="D331:D332"/>
    <mergeCell ref="B334:C334"/>
    <mergeCell ref="D337:D338"/>
    <mergeCell ref="D339:D340"/>
    <mergeCell ref="B342:C342"/>
    <mergeCell ref="B343:B347"/>
    <mergeCell ref="B319:C319"/>
    <mergeCell ref="B321:C321"/>
    <mergeCell ref="B323:C323"/>
    <mergeCell ref="B325:C325"/>
    <mergeCell ref="B327:C327"/>
    <mergeCell ref="D328:D329"/>
    <mergeCell ref="B365:C365"/>
    <mergeCell ref="B367:C367"/>
    <mergeCell ref="B369:C369"/>
    <mergeCell ref="B371:C371"/>
    <mergeCell ref="C372:C375"/>
    <mergeCell ref="B379:C379"/>
    <mergeCell ref="B348:C348"/>
    <mergeCell ref="B354:C354"/>
    <mergeCell ref="B355:B356"/>
    <mergeCell ref="B357:C357"/>
    <mergeCell ref="B362:C362"/>
    <mergeCell ref="B363:B364"/>
    <mergeCell ref="B398:C398"/>
    <mergeCell ref="C399:C403"/>
    <mergeCell ref="B407:C407"/>
    <mergeCell ref="B409:C409"/>
    <mergeCell ref="B411:C411"/>
    <mergeCell ref="B413:C413"/>
    <mergeCell ref="B381:C381"/>
    <mergeCell ref="C382:C383"/>
    <mergeCell ref="D386:D387"/>
    <mergeCell ref="D388:D390"/>
    <mergeCell ref="D391:D393"/>
    <mergeCell ref="B396:C396"/>
    <mergeCell ref="B434:C434"/>
    <mergeCell ref="B437:C437"/>
    <mergeCell ref="B438:C438"/>
    <mergeCell ref="B439:B440"/>
    <mergeCell ref="B442:C442"/>
    <mergeCell ref="B443:C443"/>
    <mergeCell ref="B420:C420"/>
    <mergeCell ref="B421:B422"/>
    <mergeCell ref="B425:C425"/>
    <mergeCell ref="B426:B427"/>
    <mergeCell ref="B428:C428"/>
    <mergeCell ref="B433:C433"/>
    <mergeCell ref="B457:C457"/>
    <mergeCell ref="B459:C459"/>
    <mergeCell ref="B466:C466"/>
    <mergeCell ref="B470:C470"/>
    <mergeCell ref="B473:C473"/>
    <mergeCell ref="B475:C475"/>
    <mergeCell ref="B446:C446"/>
    <mergeCell ref="B447:B448"/>
    <mergeCell ref="B449:C449"/>
    <mergeCell ref="B451:C451"/>
    <mergeCell ref="B453:C453"/>
    <mergeCell ref="B455:C455"/>
    <mergeCell ref="D496:D497"/>
    <mergeCell ref="C499:C500"/>
    <mergeCell ref="B503:C503"/>
    <mergeCell ref="B504:B507"/>
    <mergeCell ref="B510:C510"/>
    <mergeCell ref="B511:B512"/>
    <mergeCell ref="C512:C513"/>
    <mergeCell ref="B476:B484"/>
    <mergeCell ref="C476:C482"/>
    <mergeCell ref="B486:C486"/>
    <mergeCell ref="B488:C488"/>
    <mergeCell ref="D489:D490"/>
    <mergeCell ref="D491:D492"/>
    <mergeCell ref="A546:A549"/>
    <mergeCell ref="B547:C547"/>
    <mergeCell ref="B549:C549"/>
    <mergeCell ref="B514:C514"/>
    <mergeCell ref="B516:C516"/>
    <mergeCell ref="B519:C519"/>
    <mergeCell ref="B521:C521"/>
    <mergeCell ref="C522:C523"/>
    <mergeCell ref="B531:C531"/>
    <mergeCell ref="B552:C552"/>
    <mergeCell ref="B557:C557"/>
    <mergeCell ref="B559:C559"/>
    <mergeCell ref="B561:C561"/>
    <mergeCell ref="B563:C563"/>
    <mergeCell ref="B567:C567"/>
    <mergeCell ref="B533:C533"/>
    <mergeCell ref="D539:D541"/>
    <mergeCell ref="B543:C543"/>
    <mergeCell ref="D597:D600"/>
    <mergeCell ref="B601:C601"/>
    <mergeCell ref="B584:C584"/>
    <mergeCell ref="B586:C586"/>
    <mergeCell ref="B587:B589"/>
    <mergeCell ref="C588:C589"/>
    <mergeCell ref="B590:C590"/>
    <mergeCell ref="B592:C592"/>
    <mergeCell ref="B570:C570"/>
    <mergeCell ref="B572:C572"/>
    <mergeCell ref="B574:C574"/>
    <mergeCell ref="B577:C577"/>
    <mergeCell ref="B579:C579"/>
    <mergeCell ref="B580:B583"/>
    <mergeCell ref="B604:C604"/>
    <mergeCell ref="B606:C606"/>
    <mergeCell ref="A607:A617"/>
    <mergeCell ref="B608:C608"/>
    <mergeCell ref="B609:B612"/>
    <mergeCell ref="B613:C613"/>
    <mergeCell ref="B615:C615"/>
    <mergeCell ref="B617:C617"/>
    <mergeCell ref="B594:C594"/>
    <mergeCell ref="A595:A601"/>
    <mergeCell ref="B596:C596"/>
    <mergeCell ref="B597:B600"/>
    <mergeCell ref="A633:C633"/>
    <mergeCell ref="A635:C635"/>
    <mergeCell ref="A636:C636"/>
    <mergeCell ref="B620:C620"/>
    <mergeCell ref="B624:C624"/>
    <mergeCell ref="B626:C626"/>
    <mergeCell ref="B628:C628"/>
    <mergeCell ref="A629:C629"/>
    <mergeCell ref="A632:C632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horizontalDpi="4294967295" verticalDpi="4294967295" r:id="rId1"/>
  <headerFooter>
    <oddFooter>Strona &amp;P z &amp;N</oddFooter>
  </headerFooter>
  <rowBreaks count="9" manualBreakCount="9">
    <brk id="55" max="10" man="1"/>
    <brk id="156" max="10" man="1"/>
    <brk id="221" max="10" man="1"/>
    <brk id="275" max="10" man="1"/>
    <brk id="325" max="10" man="1"/>
    <brk id="365" max="10" man="1"/>
    <brk id="419" max="10" man="1"/>
    <brk id="486" max="10" man="1"/>
    <brk id="606" max="10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F9B56-4470-43AC-996C-4F8BB6D6ACCA}">
  <sheetPr>
    <tabColor rgb="FF00B0F0"/>
    <pageSetUpPr fitToPage="1"/>
  </sheetPr>
  <dimension ref="A1:EM2846"/>
  <sheetViews>
    <sheetView view="pageBreakPreview" topLeftCell="A1019" zoomScale="83" zoomScaleNormal="115" zoomScaleSheetLayoutView="83" workbookViewId="0">
      <selection activeCell="D382" sqref="D382"/>
    </sheetView>
  </sheetViews>
  <sheetFormatPr defaultRowHeight="12.75"/>
  <cols>
    <col min="1" max="1" width="7" style="1369" customWidth="1"/>
    <col min="2" max="2" width="8" style="1369" customWidth="1"/>
    <col min="3" max="3" width="10.5703125" style="1369" customWidth="1"/>
    <col min="4" max="4" width="62" style="1369" customWidth="1"/>
    <col min="5" max="5" width="17.140625" style="1369" hidden="1" customWidth="1"/>
    <col min="6" max="6" width="24.5703125" style="1830" customWidth="1"/>
    <col min="7" max="7" width="18.5703125" style="1830" customWidth="1"/>
    <col min="8" max="8" width="12" style="1830" customWidth="1"/>
    <col min="9" max="9" width="2.85546875" style="1369" hidden="1" customWidth="1"/>
    <col min="10" max="10" width="10.140625" style="1370" hidden="1" customWidth="1"/>
    <col min="11" max="16384" width="9.140625" style="1369"/>
  </cols>
  <sheetData>
    <row r="1" spans="1:13" ht="63" customHeight="1">
      <c r="A1" s="5019" t="s">
        <v>681</v>
      </c>
      <c r="B1" s="5019"/>
      <c r="C1" s="5019"/>
      <c r="D1" s="5019"/>
      <c r="E1" s="5019"/>
      <c r="F1" s="5019"/>
      <c r="G1" s="5019"/>
      <c r="H1" s="5019"/>
    </row>
    <row r="2" spans="1:13" ht="13.5" hidden="1" customHeight="1">
      <c r="A2" s="1371"/>
      <c r="B2" s="1371"/>
      <c r="C2" s="1371"/>
      <c r="D2" s="1371"/>
      <c r="E2" s="1371"/>
      <c r="F2" s="1372"/>
      <c r="G2" s="1372"/>
      <c r="H2" s="1371"/>
    </row>
    <row r="3" spans="1:13" ht="7.5" hidden="1" customHeight="1">
      <c r="A3" s="1371"/>
      <c r="B3" s="1371"/>
      <c r="C3" s="1371"/>
      <c r="D3" s="1371"/>
      <c r="E3" s="1371"/>
      <c r="F3" s="1372"/>
      <c r="G3" s="1372"/>
      <c r="H3" s="1371"/>
    </row>
    <row r="4" spans="1:13" ht="11.25" hidden="1" customHeight="1">
      <c r="A4" s="1371"/>
      <c r="B4" s="1371"/>
      <c r="C4" s="1371"/>
      <c r="D4" s="1371"/>
      <c r="E4" s="1371"/>
      <c r="F4" s="1372"/>
      <c r="G4" s="1372"/>
      <c r="H4" s="1371"/>
    </row>
    <row r="5" spans="1:13" s="1376" customFormat="1" ht="18" customHeight="1" thickBot="1">
      <c r="A5" s="1373"/>
      <c r="B5" s="1373"/>
      <c r="C5" s="1373"/>
      <c r="D5" s="1373"/>
      <c r="E5" s="1373"/>
      <c r="F5" s="1374"/>
      <c r="G5" s="1374"/>
      <c r="H5" s="1375" t="s">
        <v>0</v>
      </c>
      <c r="J5" s="1377"/>
    </row>
    <row r="6" spans="1:13" ht="67.5" customHeight="1" thickBot="1">
      <c r="A6" s="1378" t="s">
        <v>1</v>
      </c>
      <c r="B6" s="1379" t="s">
        <v>2</v>
      </c>
      <c r="C6" s="1380" t="s">
        <v>274</v>
      </c>
      <c r="D6" s="1381" t="s">
        <v>682</v>
      </c>
      <c r="E6" s="1382" t="s">
        <v>683</v>
      </c>
      <c r="F6" s="1383" t="s">
        <v>684</v>
      </c>
      <c r="G6" s="1384" t="s">
        <v>685</v>
      </c>
      <c r="H6" s="1383" t="s">
        <v>281</v>
      </c>
      <c r="I6" s="1385"/>
      <c r="J6" s="1386"/>
      <c r="K6" s="1385"/>
      <c r="L6" s="1385"/>
      <c r="M6" s="1385"/>
    </row>
    <row r="7" spans="1:13" ht="15" customHeight="1" thickBot="1">
      <c r="A7" s="1387" t="s">
        <v>133</v>
      </c>
      <c r="B7" s="1388" t="s">
        <v>134</v>
      </c>
      <c r="C7" s="1389" t="s">
        <v>135</v>
      </c>
      <c r="D7" s="1387" t="s">
        <v>136</v>
      </c>
      <c r="E7" s="1390" t="s">
        <v>137</v>
      </c>
      <c r="F7" s="1391" t="s">
        <v>137</v>
      </c>
      <c r="G7" s="1392" t="s">
        <v>268</v>
      </c>
      <c r="H7" s="1391" t="s">
        <v>283</v>
      </c>
    </row>
    <row r="8" spans="1:13" ht="0.75" hidden="1" customHeight="1" thickBot="1">
      <c r="A8" s="1393"/>
      <c r="B8" s="1394"/>
      <c r="C8" s="1395"/>
      <c r="D8" s="1395"/>
      <c r="E8" s="1396"/>
      <c r="F8" s="1397"/>
      <c r="G8" s="1398"/>
      <c r="H8" s="1399"/>
    </row>
    <row r="9" spans="1:13" s="1370" customFormat="1" ht="17.100000000000001" customHeight="1" thickBot="1">
      <c r="A9" s="1400" t="s">
        <v>140</v>
      </c>
      <c r="B9" s="1401"/>
      <c r="C9" s="1402"/>
      <c r="D9" s="1403" t="s">
        <v>686</v>
      </c>
      <c r="E9" s="1404">
        <f>SUM(E10,E47,E72,E102,E140,E160,E156)</f>
        <v>47887084</v>
      </c>
      <c r="F9" s="1405">
        <f>SUM(F10,F47,F72,F102,F140,F160,F156)</f>
        <v>55904091</v>
      </c>
      <c r="G9" s="1406">
        <f>SUM(G10,G47,G72,G102,G140,G160,G156)</f>
        <v>52003357</v>
      </c>
      <c r="H9" s="1407">
        <f t="shared" ref="H9:H39" si="0">G9/F9</f>
        <v>0.93022453401487204</v>
      </c>
    </row>
    <row r="10" spans="1:13" s="1370" customFormat="1" ht="17.100000000000001" customHeight="1" thickBot="1">
      <c r="A10" s="1408"/>
      <c r="B10" s="1409" t="s">
        <v>5</v>
      </c>
      <c r="C10" s="1410"/>
      <c r="D10" s="1411" t="s">
        <v>687</v>
      </c>
      <c r="E10" s="1412">
        <f>E11+E44</f>
        <v>16805767</v>
      </c>
      <c r="F10" s="1413">
        <f>F11+F44</f>
        <v>17504018</v>
      </c>
      <c r="G10" s="1414">
        <f>G11+G44</f>
        <v>20952501</v>
      </c>
      <c r="H10" s="1415">
        <f t="shared" si="0"/>
        <v>1.1970109377172715</v>
      </c>
      <c r="J10" s="1416"/>
    </row>
    <row r="11" spans="1:13" s="1370" customFormat="1" ht="17.100000000000001" customHeight="1">
      <c r="A11" s="1408"/>
      <c r="B11" s="4357"/>
      <c r="C11" s="4358" t="s">
        <v>688</v>
      </c>
      <c r="D11" s="4358"/>
      <c r="E11" s="1417">
        <f>E12+E41</f>
        <v>16005767</v>
      </c>
      <c r="F11" s="1418">
        <f>F12+F41</f>
        <v>16704018</v>
      </c>
      <c r="G11" s="1419">
        <f>G12+G41</f>
        <v>20048501</v>
      </c>
      <c r="H11" s="1420">
        <f t="shared" si="0"/>
        <v>1.2002202703565095</v>
      </c>
      <c r="J11" s="1416"/>
    </row>
    <row r="12" spans="1:13" s="1370" customFormat="1" ht="17.100000000000001" customHeight="1">
      <c r="A12" s="1408"/>
      <c r="B12" s="4357"/>
      <c r="C12" s="5020" t="s">
        <v>689</v>
      </c>
      <c r="D12" s="5020"/>
      <c r="E12" s="1421">
        <f>E13+E21</f>
        <v>15888740</v>
      </c>
      <c r="F12" s="1422">
        <f>F13+F21</f>
        <v>16576841</v>
      </c>
      <c r="G12" s="1423">
        <f>G13+G21</f>
        <v>19904786</v>
      </c>
      <c r="H12" s="1424">
        <f t="shared" si="0"/>
        <v>1.2007586970279802</v>
      </c>
    </row>
    <row r="13" spans="1:13" s="1370" customFormat="1" ht="17.100000000000001" customHeight="1">
      <c r="A13" s="1408"/>
      <c r="B13" s="4357"/>
      <c r="C13" s="5021" t="s">
        <v>690</v>
      </c>
      <c r="D13" s="5021"/>
      <c r="E13" s="1425">
        <f>SUM(E14:E19)</f>
        <v>12426840</v>
      </c>
      <c r="F13" s="1426">
        <f>SUM(F14:F19)</f>
        <v>12815334</v>
      </c>
      <c r="G13" s="1427">
        <f>SUM(G14:G19)</f>
        <v>15114652</v>
      </c>
      <c r="H13" s="1428">
        <f t="shared" si="0"/>
        <v>1.1794192800593415</v>
      </c>
      <c r="J13" s="1370" t="s">
        <v>691</v>
      </c>
    </row>
    <row r="14" spans="1:13" s="1370" customFormat="1" ht="17.100000000000001" customHeight="1">
      <c r="A14" s="1408"/>
      <c r="B14" s="1429"/>
      <c r="C14" s="1430" t="s">
        <v>692</v>
      </c>
      <c r="D14" s="1431" t="s">
        <v>693</v>
      </c>
      <c r="E14" s="1432">
        <v>9550979</v>
      </c>
      <c r="F14" s="1433">
        <v>9874111</v>
      </c>
      <c r="G14" s="1434">
        <v>11642549</v>
      </c>
      <c r="H14" s="1435">
        <f t="shared" si="0"/>
        <v>1.179098452508788</v>
      </c>
    </row>
    <row r="15" spans="1:13" s="1370" customFormat="1" ht="17.100000000000001" customHeight="1">
      <c r="A15" s="1408"/>
      <c r="B15" s="1429"/>
      <c r="C15" s="1436" t="s">
        <v>694</v>
      </c>
      <c r="D15" s="1437" t="s">
        <v>695</v>
      </c>
      <c r="E15" s="1438">
        <v>686820</v>
      </c>
      <c r="F15" s="1433">
        <v>686820</v>
      </c>
      <c r="G15" s="1439">
        <v>767345</v>
      </c>
      <c r="H15" s="1435">
        <f t="shared" si="0"/>
        <v>1.1172432369470895</v>
      </c>
    </row>
    <row r="16" spans="1:13" s="1370" customFormat="1" ht="17.100000000000001" customHeight="1">
      <c r="A16" s="1408"/>
      <c r="B16" s="1429"/>
      <c r="C16" s="1436" t="s">
        <v>696</v>
      </c>
      <c r="D16" s="1437" t="s">
        <v>697</v>
      </c>
      <c r="E16" s="1438">
        <v>1745133</v>
      </c>
      <c r="F16" s="1433">
        <v>1800680</v>
      </c>
      <c r="G16" s="1439">
        <v>2142488</v>
      </c>
      <c r="H16" s="1435">
        <f t="shared" si="0"/>
        <v>1.1898216229424439</v>
      </c>
    </row>
    <row r="17" spans="1:8" s="1370" customFormat="1" ht="15.75" customHeight="1">
      <c r="A17" s="1408"/>
      <c r="B17" s="1429"/>
      <c r="C17" s="1436" t="s">
        <v>698</v>
      </c>
      <c r="D17" s="1437" t="s">
        <v>699</v>
      </c>
      <c r="E17" s="1438">
        <v>247548</v>
      </c>
      <c r="F17" s="1433">
        <v>255300</v>
      </c>
      <c r="G17" s="1439">
        <v>275044</v>
      </c>
      <c r="H17" s="1435">
        <f t="shared" si="0"/>
        <v>1.0773364669016843</v>
      </c>
    </row>
    <row r="18" spans="1:8" s="1370" customFormat="1" ht="17.100000000000001" customHeight="1">
      <c r="A18" s="1408"/>
      <c r="B18" s="1429"/>
      <c r="C18" s="1436" t="s">
        <v>700</v>
      </c>
      <c r="D18" s="1437" t="s">
        <v>701</v>
      </c>
      <c r="E18" s="1438">
        <v>142260</v>
      </c>
      <c r="F18" s="1433">
        <v>142260</v>
      </c>
      <c r="G18" s="1439">
        <v>225200</v>
      </c>
      <c r="H18" s="1435">
        <f t="shared" si="0"/>
        <v>1.5830170111064248</v>
      </c>
    </row>
    <row r="19" spans="1:8" s="1370" customFormat="1" ht="17.100000000000001" customHeight="1">
      <c r="A19" s="1408"/>
      <c r="B19" s="1429"/>
      <c r="C19" s="1436" t="s">
        <v>702</v>
      </c>
      <c r="D19" s="1437" t="s">
        <v>703</v>
      </c>
      <c r="E19" s="1438">
        <v>54100</v>
      </c>
      <c r="F19" s="1433">
        <v>56163</v>
      </c>
      <c r="G19" s="1440">
        <v>62026</v>
      </c>
      <c r="H19" s="1435">
        <f t="shared" si="0"/>
        <v>1.1043925716218863</v>
      </c>
    </row>
    <row r="20" spans="1:8" s="1370" customFormat="1" ht="17.100000000000001" customHeight="1">
      <c r="A20" s="1408"/>
      <c r="B20" s="1429"/>
      <c r="C20" s="1441"/>
      <c r="D20" s="1442"/>
      <c r="E20" s="1438"/>
      <c r="F20" s="1433"/>
      <c r="G20" s="1440"/>
      <c r="H20" s="1435"/>
    </row>
    <row r="21" spans="1:8" s="1370" customFormat="1" ht="17.100000000000001" customHeight="1">
      <c r="A21" s="1408"/>
      <c r="B21" s="1429"/>
      <c r="C21" s="5022" t="s">
        <v>704</v>
      </c>
      <c r="D21" s="5023"/>
      <c r="E21" s="1443">
        <f>SUM(E22:E39)</f>
        <v>3461900</v>
      </c>
      <c r="F21" s="1426">
        <f>SUM(F22:F39)</f>
        <v>3761507</v>
      </c>
      <c r="G21" s="1444">
        <f>SUM(G22:G39)</f>
        <v>4790134</v>
      </c>
      <c r="H21" s="1428">
        <f t="shared" si="0"/>
        <v>1.2734614078878492</v>
      </c>
    </row>
    <row r="22" spans="1:8" s="1370" customFormat="1" ht="17.100000000000001" customHeight="1">
      <c r="A22" s="1408"/>
      <c r="B22" s="1429"/>
      <c r="C22" s="1436" t="s">
        <v>705</v>
      </c>
      <c r="D22" s="1437" t="s">
        <v>706</v>
      </c>
      <c r="E22" s="1438">
        <v>144000</v>
      </c>
      <c r="F22" s="1433">
        <v>144000</v>
      </c>
      <c r="G22" s="1445">
        <v>175000</v>
      </c>
      <c r="H22" s="1435">
        <f t="shared" si="0"/>
        <v>1.2152777777777777</v>
      </c>
    </row>
    <row r="23" spans="1:8" s="1370" customFormat="1" ht="17.100000000000001" customHeight="1">
      <c r="A23" s="1408"/>
      <c r="B23" s="1429"/>
      <c r="C23" s="1436" t="s">
        <v>707</v>
      </c>
      <c r="D23" s="1437" t="s">
        <v>708</v>
      </c>
      <c r="E23" s="1438">
        <v>1964600</v>
      </c>
      <c r="F23" s="1433">
        <v>1914767</v>
      </c>
      <c r="G23" s="1445">
        <v>1908048</v>
      </c>
      <c r="H23" s="1435">
        <f t="shared" si="0"/>
        <v>0.99649095686315881</v>
      </c>
    </row>
    <row r="24" spans="1:8" s="1370" customFormat="1" ht="17.100000000000001" customHeight="1">
      <c r="A24" s="1408"/>
      <c r="B24" s="1429"/>
      <c r="C24" s="1436" t="s">
        <v>709</v>
      </c>
      <c r="D24" s="1437" t="s">
        <v>710</v>
      </c>
      <c r="E24" s="1438">
        <v>6500</v>
      </c>
      <c r="F24" s="1433">
        <v>6500</v>
      </c>
      <c r="G24" s="1445">
        <v>7500</v>
      </c>
      <c r="H24" s="1435">
        <f t="shared" si="0"/>
        <v>1.1538461538461537</v>
      </c>
    </row>
    <row r="25" spans="1:8" s="1370" customFormat="1" ht="17.100000000000001" customHeight="1">
      <c r="A25" s="1408"/>
      <c r="B25" s="1429"/>
      <c r="C25" s="1436" t="s">
        <v>711</v>
      </c>
      <c r="D25" s="1437" t="s">
        <v>712</v>
      </c>
      <c r="E25" s="1438">
        <v>160000</v>
      </c>
      <c r="F25" s="1433">
        <v>259108</v>
      </c>
      <c r="G25" s="1445">
        <v>416481</v>
      </c>
      <c r="H25" s="1435">
        <f t="shared" si="0"/>
        <v>1.6073644966577643</v>
      </c>
    </row>
    <row r="26" spans="1:8" s="1370" customFormat="1" ht="17.100000000000001" customHeight="1">
      <c r="A26" s="1408"/>
      <c r="B26" s="1429"/>
      <c r="C26" s="1436" t="s">
        <v>713</v>
      </c>
      <c r="D26" s="1437" t="s">
        <v>714</v>
      </c>
      <c r="E26" s="1438">
        <v>184300</v>
      </c>
      <c r="F26" s="1433">
        <v>217941</v>
      </c>
      <c r="G26" s="1445">
        <v>251513</v>
      </c>
      <c r="H26" s="1435">
        <f t="shared" si="0"/>
        <v>1.1540416901822053</v>
      </c>
    </row>
    <row r="27" spans="1:8" s="1370" customFormat="1" ht="17.100000000000001" customHeight="1">
      <c r="A27" s="1408"/>
      <c r="B27" s="1429"/>
      <c r="C27" s="1436" t="s">
        <v>715</v>
      </c>
      <c r="D27" s="1437" t="s">
        <v>716</v>
      </c>
      <c r="E27" s="1438">
        <v>18200</v>
      </c>
      <c r="F27" s="1433">
        <v>18200</v>
      </c>
      <c r="G27" s="1445">
        <v>32640</v>
      </c>
      <c r="H27" s="1435">
        <f t="shared" si="0"/>
        <v>1.7934065934065935</v>
      </c>
    </row>
    <row r="28" spans="1:8" s="1370" customFormat="1" ht="17.100000000000001" customHeight="1">
      <c r="A28" s="1408"/>
      <c r="B28" s="1429"/>
      <c r="C28" s="1436" t="s">
        <v>717</v>
      </c>
      <c r="D28" s="1437" t="s">
        <v>718</v>
      </c>
      <c r="E28" s="1438">
        <v>407740</v>
      </c>
      <c r="F28" s="1433">
        <v>557877</v>
      </c>
      <c r="G28" s="1445">
        <v>1272054</v>
      </c>
      <c r="H28" s="1435">
        <f t="shared" si="0"/>
        <v>2.2801692846272568</v>
      </c>
    </row>
    <row r="29" spans="1:8" s="1370" customFormat="1" ht="16.5" customHeight="1">
      <c r="A29" s="1408"/>
      <c r="B29" s="1429"/>
      <c r="C29" s="1436" t="s">
        <v>719</v>
      </c>
      <c r="D29" s="1437" t="s">
        <v>720</v>
      </c>
      <c r="E29" s="1438">
        <v>45150</v>
      </c>
      <c r="F29" s="1433">
        <v>45150</v>
      </c>
      <c r="G29" s="1445">
        <v>59140</v>
      </c>
      <c r="H29" s="1435">
        <f t="shared" si="0"/>
        <v>1.3098560354374307</v>
      </c>
    </row>
    <row r="30" spans="1:8" s="1370" customFormat="1" ht="16.5" customHeight="1">
      <c r="A30" s="1408"/>
      <c r="B30" s="1429"/>
      <c r="C30" s="1436" t="s">
        <v>721</v>
      </c>
      <c r="D30" s="1437" t="s">
        <v>722</v>
      </c>
      <c r="E30" s="1438">
        <v>9160</v>
      </c>
      <c r="F30" s="1433">
        <v>9160</v>
      </c>
      <c r="G30" s="1445">
        <v>6800</v>
      </c>
      <c r="H30" s="1435">
        <f t="shared" si="0"/>
        <v>0.74235807860262004</v>
      </c>
    </row>
    <row r="31" spans="1:8" s="1370" customFormat="1" ht="27.75" customHeight="1">
      <c r="A31" s="1408"/>
      <c r="B31" s="1429"/>
      <c r="C31" s="1436" t="s">
        <v>723</v>
      </c>
      <c r="D31" s="1437" t="s">
        <v>724</v>
      </c>
      <c r="E31" s="1438">
        <v>150000</v>
      </c>
      <c r="F31" s="1433">
        <v>185287</v>
      </c>
      <c r="G31" s="1445">
        <v>240000</v>
      </c>
      <c r="H31" s="1435">
        <f t="shared" si="0"/>
        <v>1.2952878507396632</v>
      </c>
    </row>
    <row r="32" spans="1:8" s="1370" customFormat="1" ht="17.100000000000001" customHeight="1">
      <c r="A32" s="1408"/>
      <c r="B32" s="1429"/>
      <c r="C32" s="1436" t="s">
        <v>725</v>
      </c>
      <c r="D32" s="1437" t="s">
        <v>726</v>
      </c>
      <c r="E32" s="1438">
        <v>5000</v>
      </c>
      <c r="F32" s="1433">
        <v>5000</v>
      </c>
      <c r="G32" s="1445">
        <v>5000</v>
      </c>
      <c r="H32" s="1435">
        <f t="shared" si="0"/>
        <v>1</v>
      </c>
    </row>
    <row r="33" spans="1:8" s="1370" customFormat="1" ht="17.100000000000001" customHeight="1">
      <c r="A33" s="1408"/>
      <c r="B33" s="1429"/>
      <c r="C33" s="1436" t="s">
        <v>727</v>
      </c>
      <c r="D33" s="1437" t="s">
        <v>728</v>
      </c>
      <c r="E33" s="1438">
        <v>120000</v>
      </c>
      <c r="F33" s="1433">
        <v>120000</v>
      </c>
      <c r="G33" s="1445">
        <v>110150</v>
      </c>
      <c r="H33" s="1435">
        <f t="shared" si="0"/>
        <v>0.91791666666666671</v>
      </c>
    </row>
    <row r="34" spans="1:8" s="1370" customFormat="1" ht="17.100000000000001" customHeight="1">
      <c r="A34" s="1408"/>
      <c r="B34" s="1429"/>
      <c r="C34" s="1436" t="s">
        <v>729</v>
      </c>
      <c r="D34" s="1437" t="s">
        <v>730</v>
      </c>
      <c r="E34" s="1438">
        <v>209210</v>
      </c>
      <c r="F34" s="1433">
        <v>209210</v>
      </c>
      <c r="G34" s="1445">
        <v>210532</v>
      </c>
      <c r="H34" s="1435">
        <f t="shared" si="0"/>
        <v>1.0063190096075714</v>
      </c>
    </row>
    <row r="35" spans="1:8" s="1370" customFormat="1" ht="17.100000000000001" customHeight="1">
      <c r="A35" s="1408"/>
      <c r="B35" s="1429"/>
      <c r="C35" s="1446" t="s">
        <v>731</v>
      </c>
      <c r="D35" s="1447" t="s">
        <v>732</v>
      </c>
      <c r="E35" s="1438">
        <v>9500</v>
      </c>
      <c r="F35" s="1433">
        <v>16556</v>
      </c>
      <c r="G35" s="1445">
        <v>20000</v>
      </c>
      <c r="H35" s="1435">
        <f t="shared" si="0"/>
        <v>1.2080212611741967</v>
      </c>
    </row>
    <row r="36" spans="1:8" s="1370" customFormat="1" ht="17.100000000000001" customHeight="1">
      <c r="A36" s="1429"/>
      <c r="B36" s="1429"/>
      <c r="C36" s="1448" t="s">
        <v>733</v>
      </c>
      <c r="D36" s="1449" t="s">
        <v>734</v>
      </c>
      <c r="E36" s="1450">
        <v>0</v>
      </c>
      <c r="F36" s="1451">
        <v>700</v>
      </c>
      <c r="G36" s="1452">
        <v>0</v>
      </c>
      <c r="H36" s="1453">
        <f t="shared" si="0"/>
        <v>0</v>
      </c>
    </row>
    <row r="37" spans="1:8" s="1370" customFormat="1" ht="17.100000000000001" customHeight="1">
      <c r="A37" s="1408"/>
      <c r="B37" s="1429"/>
      <c r="C37" s="1436" t="s">
        <v>735</v>
      </c>
      <c r="D37" s="1437" t="s">
        <v>736</v>
      </c>
      <c r="E37" s="1438">
        <v>2540</v>
      </c>
      <c r="F37" s="1433">
        <v>10835</v>
      </c>
      <c r="G37" s="1440">
        <v>14951</v>
      </c>
      <c r="H37" s="1435">
        <f t="shared" si="0"/>
        <v>1.3798800184586986</v>
      </c>
    </row>
    <row r="38" spans="1:8" s="1370" customFormat="1" ht="17.100000000000001" customHeight="1">
      <c r="A38" s="1408"/>
      <c r="B38" s="1429"/>
      <c r="C38" s="1436" t="s">
        <v>737</v>
      </c>
      <c r="D38" s="1437" t="s">
        <v>738</v>
      </c>
      <c r="E38" s="1438">
        <v>0</v>
      </c>
      <c r="F38" s="1433">
        <v>216</v>
      </c>
      <c r="G38" s="1440">
        <v>0</v>
      </c>
      <c r="H38" s="1435">
        <f t="shared" si="0"/>
        <v>0</v>
      </c>
    </row>
    <row r="39" spans="1:8" s="1370" customFormat="1" ht="16.5" customHeight="1">
      <c r="A39" s="1408"/>
      <c r="B39" s="1429"/>
      <c r="C39" s="1436" t="s">
        <v>739</v>
      </c>
      <c r="D39" s="1437" t="s">
        <v>740</v>
      </c>
      <c r="E39" s="1438">
        <v>26000</v>
      </c>
      <c r="F39" s="1433">
        <v>41000</v>
      </c>
      <c r="G39" s="1440">
        <v>60325</v>
      </c>
      <c r="H39" s="1435">
        <f t="shared" si="0"/>
        <v>1.4713414634146342</v>
      </c>
    </row>
    <row r="40" spans="1:8" s="1370" customFormat="1" ht="17.100000000000001" customHeight="1">
      <c r="A40" s="1408"/>
      <c r="B40" s="1429"/>
      <c r="C40" s="5012"/>
      <c r="D40" s="5012"/>
      <c r="E40" s="1454"/>
      <c r="F40" s="1433"/>
      <c r="G40" s="1455"/>
      <c r="H40" s="1435"/>
    </row>
    <row r="41" spans="1:8" s="1370" customFormat="1" ht="17.100000000000001" customHeight="1">
      <c r="A41" s="1408"/>
      <c r="B41" s="1429"/>
      <c r="C41" s="5014" t="s">
        <v>741</v>
      </c>
      <c r="D41" s="5014"/>
      <c r="E41" s="1438">
        <f>SUM(E42)</f>
        <v>117027</v>
      </c>
      <c r="F41" s="1433">
        <f>SUM(F42)</f>
        <v>127177</v>
      </c>
      <c r="G41" s="1456">
        <f>SUM(G42)</f>
        <v>143715</v>
      </c>
      <c r="H41" s="1435">
        <f>G41/F41</f>
        <v>1.1300392366544265</v>
      </c>
    </row>
    <row r="42" spans="1:8" s="1370" customFormat="1" ht="17.100000000000001" customHeight="1">
      <c r="A42" s="1408"/>
      <c r="B42" s="1429"/>
      <c r="C42" s="1446" t="s">
        <v>742</v>
      </c>
      <c r="D42" s="1447" t="s">
        <v>743</v>
      </c>
      <c r="E42" s="1438">
        <v>117027</v>
      </c>
      <c r="F42" s="1433">
        <v>127177</v>
      </c>
      <c r="G42" s="1440">
        <v>143715</v>
      </c>
      <c r="H42" s="1435">
        <f>G42/F42</f>
        <v>1.1300392366544265</v>
      </c>
    </row>
    <row r="43" spans="1:8" s="1370" customFormat="1" ht="17.100000000000001" customHeight="1">
      <c r="A43" s="1408"/>
      <c r="B43" s="1429"/>
      <c r="C43" s="5027"/>
      <c r="D43" s="5028"/>
      <c r="E43" s="1457"/>
      <c r="F43" s="1433"/>
      <c r="G43" s="1440"/>
      <c r="H43" s="1435"/>
    </row>
    <row r="44" spans="1:8" s="1370" customFormat="1" ht="17.100000000000001" customHeight="1">
      <c r="A44" s="1408"/>
      <c r="B44" s="1429"/>
      <c r="C44" s="5029" t="s">
        <v>744</v>
      </c>
      <c r="D44" s="5030"/>
      <c r="E44" s="1458">
        <f t="shared" ref="E44:G45" si="1">SUM(E45)</f>
        <v>800000</v>
      </c>
      <c r="F44" s="1459">
        <f t="shared" si="1"/>
        <v>800000</v>
      </c>
      <c r="G44" s="1460">
        <f t="shared" si="1"/>
        <v>904000</v>
      </c>
      <c r="H44" s="1461">
        <f t="shared" ref="H44:H107" si="2">G44/F44</f>
        <v>1.1299999999999999</v>
      </c>
    </row>
    <row r="45" spans="1:8" s="1370" customFormat="1" ht="17.100000000000001" customHeight="1">
      <c r="A45" s="1408"/>
      <c r="B45" s="1429"/>
      <c r="C45" s="5014" t="s">
        <v>745</v>
      </c>
      <c r="D45" s="5014"/>
      <c r="E45" s="1438">
        <f t="shared" si="1"/>
        <v>800000</v>
      </c>
      <c r="F45" s="1433">
        <f t="shared" si="1"/>
        <v>800000</v>
      </c>
      <c r="G45" s="1433">
        <f t="shared" si="1"/>
        <v>904000</v>
      </c>
      <c r="H45" s="1435">
        <f t="shared" si="2"/>
        <v>1.1299999999999999</v>
      </c>
    </row>
    <row r="46" spans="1:8" s="1370" customFormat="1" ht="17.100000000000001" customHeight="1" thickBot="1">
      <c r="A46" s="1408"/>
      <c r="B46" s="1429"/>
      <c r="C46" s="1462" t="s">
        <v>746</v>
      </c>
      <c r="D46" s="1463" t="s">
        <v>801</v>
      </c>
      <c r="E46" s="1464">
        <v>800000</v>
      </c>
      <c r="F46" s="1433">
        <v>800000</v>
      </c>
      <c r="G46" s="1455">
        <v>904000</v>
      </c>
      <c r="H46" s="1435">
        <f t="shared" si="2"/>
        <v>1.1299999999999999</v>
      </c>
    </row>
    <row r="47" spans="1:8" s="1370" customFormat="1" ht="17.100000000000001" hidden="1" customHeight="1" thickBot="1">
      <c r="A47" s="1408"/>
      <c r="B47" s="1465" t="s">
        <v>748</v>
      </c>
      <c r="C47" s="1466"/>
      <c r="D47" s="1467" t="s">
        <v>749</v>
      </c>
      <c r="E47" s="1468">
        <v>0</v>
      </c>
      <c r="F47" s="1433"/>
      <c r="G47" s="1455"/>
      <c r="H47" s="1435" t="e">
        <f t="shared" si="2"/>
        <v>#DIV/0!</v>
      </c>
    </row>
    <row r="48" spans="1:8" s="1370" customFormat="1" ht="17.100000000000001" hidden="1" customHeight="1">
      <c r="A48" s="1408"/>
      <c r="B48" s="1469"/>
      <c r="C48" s="4358" t="s">
        <v>688</v>
      </c>
      <c r="D48" s="4358"/>
      <c r="E48" s="1417">
        <v>0</v>
      </c>
      <c r="F48" s="1433"/>
      <c r="G48" s="1455"/>
      <c r="H48" s="1435" t="e">
        <f t="shared" si="2"/>
        <v>#DIV/0!</v>
      </c>
    </row>
    <row r="49" spans="1:8" s="1370" customFormat="1" ht="17.100000000000001" hidden="1" customHeight="1">
      <c r="A49" s="1408"/>
      <c r="B49" s="1429"/>
      <c r="C49" s="4999" t="s">
        <v>689</v>
      </c>
      <c r="D49" s="4999"/>
      <c r="E49" s="1438">
        <v>0</v>
      </c>
      <c r="F49" s="1433"/>
      <c r="G49" s="1455"/>
      <c r="H49" s="1435" t="e">
        <f t="shared" si="2"/>
        <v>#DIV/0!</v>
      </c>
    </row>
    <row r="50" spans="1:8" s="1370" customFormat="1" ht="17.100000000000001" hidden="1" customHeight="1">
      <c r="A50" s="1408"/>
      <c r="B50" s="1429"/>
      <c r="C50" s="5017" t="s">
        <v>690</v>
      </c>
      <c r="D50" s="5017"/>
      <c r="E50" s="1443">
        <v>0</v>
      </c>
      <c r="F50" s="1433"/>
      <c r="G50" s="1440"/>
      <c r="H50" s="1435" t="e">
        <f t="shared" si="2"/>
        <v>#DIV/0!</v>
      </c>
    </row>
    <row r="51" spans="1:8" s="1370" customFormat="1" ht="16.5" hidden="1" customHeight="1">
      <c r="A51" s="1408"/>
      <c r="B51" s="1429"/>
      <c r="C51" s="1436" t="s">
        <v>692</v>
      </c>
      <c r="D51" s="1437" t="s">
        <v>693</v>
      </c>
      <c r="E51" s="1438">
        <v>0</v>
      </c>
      <c r="F51" s="1433"/>
      <c r="G51" s="1440"/>
      <c r="H51" s="1435" t="e">
        <f t="shared" si="2"/>
        <v>#DIV/0!</v>
      </c>
    </row>
    <row r="52" spans="1:8" s="1370" customFormat="1" ht="17.100000000000001" hidden="1" customHeight="1">
      <c r="A52" s="1408"/>
      <c r="B52" s="1429"/>
      <c r="C52" s="1436" t="s">
        <v>694</v>
      </c>
      <c r="D52" s="1437" t="s">
        <v>695</v>
      </c>
      <c r="E52" s="1438">
        <v>0</v>
      </c>
      <c r="F52" s="1433"/>
      <c r="G52" s="1440"/>
      <c r="H52" s="1435" t="e">
        <f t="shared" si="2"/>
        <v>#DIV/0!</v>
      </c>
    </row>
    <row r="53" spans="1:8" s="1370" customFormat="1" ht="17.100000000000001" hidden="1" customHeight="1">
      <c r="A53" s="1408"/>
      <c r="B53" s="1429"/>
      <c r="C53" s="1436" t="s">
        <v>696</v>
      </c>
      <c r="D53" s="1437" t="s">
        <v>697</v>
      </c>
      <c r="E53" s="1438">
        <v>0</v>
      </c>
      <c r="F53" s="1433"/>
      <c r="G53" s="1455"/>
      <c r="H53" s="1435" t="e">
        <f t="shared" si="2"/>
        <v>#DIV/0!</v>
      </c>
    </row>
    <row r="54" spans="1:8" s="1370" customFormat="1" ht="17.100000000000001" hidden="1" customHeight="1">
      <c r="A54" s="1408"/>
      <c r="B54" s="1429"/>
      <c r="C54" s="1436" t="s">
        <v>698</v>
      </c>
      <c r="D54" s="1437" t="s">
        <v>750</v>
      </c>
      <c r="E54" s="1438">
        <v>0</v>
      </c>
      <c r="F54" s="1433"/>
      <c r="G54" s="1440"/>
      <c r="H54" s="1435" t="e">
        <f t="shared" si="2"/>
        <v>#DIV/0!</v>
      </c>
    </row>
    <row r="55" spans="1:8" s="1370" customFormat="1" ht="17.100000000000001" hidden="1" customHeight="1">
      <c r="A55" s="1408"/>
      <c r="B55" s="1429"/>
      <c r="C55" s="1436" t="s">
        <v>700</v>
      </c>
      <c r="D55" s="1437" t="s">
        <v>701</v>
      </c>
      <c r="E55" s="1438">
        <v>0</v>
      </c>
      <c r="F55" s="1433"/>
      <c r="G55" s="1440"/>
      <c r="H55" s="1435" t="e">
        <f t="shared" si="2"/>
        <v>#DIV/0!</v>
      </c>
    </row>
    <row r="56" spans="1:8" s="1370" customFormat="1" ht="17.100000000000001" hidden="1" customHeight="1">
      <c r="A56" s="1408"/>
      <c r="B56" s="1429"/>
      <c r="C56" s="1470"/>
      <c r="D56" s="1470"/>
      <c r="E56" s="1471"/>
      <c r="F56" s="1433"/>
      <c r="G56" s="1440"/>
      <c r="H56" s="1435" t="e">
        <f t="shared" si="2"/>
        <v>#DIV/0!</v>
      </c>
    </row>
    <row r="57" spans="1:8" s="1370" customFormat="1" ht="17.100000000000001" hidden="1" customHeight="1">
      <c r="A57" s="1408"/>
      <c r="B57" s="1429"/>
      <c r="C57" s="5018" t="s">
        <v>704</v>
      </c>
      <c r="D57" s="5018"/>
      <c r="E57" s="1443">
        <v>0</v>
      </c>
      <c r="F57" s="1433"/>
      <c r="G57" s="1455"/>
      <c r="H57" s="1435" t="e">
        <f t="shared" si="2"/>
        <v>#DIV/0!</v>
      </c>
    </row>
    <row r="58" spans="1:8" s="1370" customFormat="1" ht="17.100000000000001" hidden="1" customHeight="1">
      <c r="A58" s="1408"/>
      <c r="B58" s="1429"/>
      <c r="C58" s="1436" t="s">
        <v>707</v>
      </c>
      <c r="D58" s="1437" t="s">
        <v>708</v>
      </c>
      <c r="E58" s="1438">
        <v>0</v>
      </c>
      <c r="F58" s="1433"/>
      <c r="G58" s="1440"/>
      <c r="H58" s="1435" t="e">
        <f t="shared" si="2"/>
        <v>#DIV/0!</v>
      </c>
    </row>
    <row r="59" spans="1:8" s="1370" customFormat="1" ht="17.100000000000001" hidden="1" customHeight="1">
      <c r="A59" s="1408"/>
      <c r="B59" s="1429"/>
      <c r="C59" s="1436" t="s">
        <v>711</v>
      </c>
      <c r="D59" s="1437" t="s">
        <v>712</v>
      </c>
      <c r="E59" s="1438">
        <v>0</v>
      </c>
      <c r="F59" s="1433"/>
      <c r="G59" s="1455"/>
      <c r="H59" s="1435" t="e">
        <f t="shared" si="2"/>
        <v>#DIV/0!</v>
      </c>
    </row>
    <row r="60" spans="1:8" s="1370" customFormat="1" ht="17.100000000000001" hidden="1" customHeight="1">
      <c r="A60" s="1408"/>
      <c r="B60" s="1429"/>
      <c r="C60" s="1436" t="s">
        <v>713</v>
      </c>
      <c r="D60" s="1437" t="s">
        <v>714</v>
      </c>
      <c r="E60" s="1438">
        <v>0</v>
      </c>
      <c r="F60" s="1433"/>
      <c r="G60" s="1440"/>
      <c r="H60" s="1435" t="e">
        <f t="shared" si="2"/>
        <v>#DIV/0!</v>
      </c>
    </row>
    <row r="61" spans="1:8" s="1370" customFormat="1" ht="17.100000000000001" hidden="1" customHeight="1">
      <c r="A61" s="1408"/>
      <c r="B61" s="1429"/>
      <c r="C61" s="1436" t="s">
        <v>717</v>
      </c>
      <c r="D61" s="1437" t="s">
        <v>718</v>
      </c>
      <c r="E61" s="1438">
        <v>0</v>
      </c>
      <c r="F61" s="1433"/>
      <c r="G61" s="1440"/>
      <c r="H61" s="1435" t="e">
        <f t="shared" si="2"/>
        <v>#DIV/0!</v>
      </c>
    </row>
    <row r="62" spans="1:8" s="1370" customFormat="1" ht="16.5" hidden="1" customHeight="1">
      <c r="A62" s="1408"/>
      <c r="B62" s="1429"/>
      <c r="C62" s="1436" t="s">
        <v>719</v>
      </c>
      <c r="D62" s="1437" t="s">
        <v>720</v>
      </c>
      <c r="E62" s="1438">
        <v>0</v>
      </c>
      <c r="F62" s="1433"/>
      <c r="G62" s="1440"/>
      <c r="H62" s="1435" t="e">
        <f t="shared" si="2"/>
        <v>#DIV/0!</v>
      </c>
    </row>
    <row r="63" spans="1:8" s="1370" customFormat="1" ht="27.75" hidden="1" customHeight="1">
      <c r="A63" s="1408"/>
      <c r="B63" s="1429"/>
      <c r="C63" s="1436" t="s">
        <v>723</v>
      </c>
      <c r="D63" s="1437" t="s">
        <v>724</v>
      </c>
      <c r="E63" s="1438">
        <v>0</v>
      </c>
      <c r="F63" s="1433"/>
      <c r="G63" s="1440"/>
      <c r="H63" s="1435" t="e">
        <f t="shared" si="2"/>
        <v>#DIV/0!</v>
      </c>
    </row>
    <row r="64" spans="1:8" s="1370" customFormat="1" ht="17.100000000000001" hidden="1" customHeight="1">
      <c r="A64" s="1408"/>
      <c r="B64" s="1429"/>
      <c r="C64" s="1436" t="s">
        <v>725</v>
      </c>
      <c r="D64" s="1437" t="s">
        <v>726</v>
      </c>
      <c r="E64" s="1438">
        <v>0</v>
      </c>
      <c r="F64" s="1433"/>
      <c r="G64" s="1440"/>
      <c r="H64" s="1435" t="e">
        <f t="shared" si="2"/>
        <v>#DIV/0!</v>
      </c>
    </row>
    <row r="65" spans="1:8" s="1370" customFormat="1" ht="17.100000000000001" hidden="1" customHeight="1">
      <c r="A65" s="1408"/>
      <c r="B65" s="1429"/>
      <c r="C65" s="1472" t="s">
        <v>727</v>
      </c>
      <c r="D65" s="1473" t="s">
        <v>728</v>
      </c>
      <c r="E65" s="1438">
        <v>0</v>
      </c>
      <c r="F65" s="1433"/>
      <c r="G65" s="1440"/>
      <c r="H65" s="1435" t="e">
        <f t="shared" si="2"/>
        <v>#DIV/0!</v>
      </c>
    </row>
    <row r="66" spans="1:8" s="1370" customFormat="1" ht="17.100000000000001" hidden="1" customHeight="1">
      <c r="A66" s="1408"/>
      <c r="B66" s="1429"/>
      <c r="C66" s="1472" t="s">
        <v>731</v>
      </c>
      <c r="D66" s="1473" t="s">
        <v>732</v>
      </c>
      <c r="E66" s="1438">
        <v>0</v>
      </c>
      <c r="F66" s="1433"/>
      <c r="G66" s="1440"/>
      <c r="H66" s="1435" t="e">
        <f t="shared" si="2"/>
        <v>#DIV/0!</v>
      </c>
    </row>
    <row r="67" spans="1:8" s="1370" customFormat="1" ht="17.100000000000001" hidden="1" customHeight="1">
      <c r="A67" s="1408"/>
      <c r="B67" s="1429"/>
      <c r="C67" s="1474" t="s">
        <v>735</v>
      </c>
      <c r="D67" s="1475" t="s">
        <v>736</v>
      </c>
      <c r="E67" s="1476">
        <v>0</v>
      </c>
      <c r="F67" s="1433"/>
      <c r="G67" s="1477"/>
      <c r="H67" s="1435" t="e">
        <f t="shared" si="2"/>
        <v>#DIV/0!</v>
      </c>
    </row>
    <row r="68" spans="1:8" s="1370" customFormat="1" ht="17.100000000000001" hidden="1" customHeight="1">
      <c r="A68" s="1408"/>
      <c r="B68" s="1429"/>
      <c r="C68" s="1472" t="s">
        <v>739</v>
      </c>
      <c r="D68" s="1473" t="s">
        <v>740</v>
      </c>
      <c r="E68" s="1476">
        <v>0</v>
      </c>
      <c r="F68" s="1433"/>
      <c r="G68" s="1477"/>
      <c r="H68" s="1435" t="e">
        <f t="shared" si="2"/>
        <v>#DIV/0!</v>
      </c>
    </row>
    <row r="69" spans="1:8" s="1370" customFormat="1" ht="17.100000000000001" hidden="1" customHeight="1">
      <c r="A69" s="1408"/>
      <c r="B69" s="1429"/>
      <c r="C69" s="1478"/>
      <c r="D69" s="1479"/>
      <c r="E69" s="1457"/>
      <c r="F69" s="1433"/>
      <c r="G69" s="1477"/>
      <c r="H69" s="1435" t="e">
        <f t="shared" si="2"/>
        <v>#DIV/0!</v>
      </c>
    </row>
    <row r="70" spans="1:8" s="1370" customFormat="1" ht="17.100000000000001" hidden="1" customHeight="1">
      <c r="A70" s="1408"/>
      <c r="B70" s="1429"/>
      <c r="C70" s="5014" t="s">
        <v>741</v>
      </c>
      <c r="D70" s="5014"/>
      <c r="E70" s="1438">
        <v>0</v>
      </c>
      <c r="F70" s="1433"/>
      <c r="G70" s="1477"/>
      <c r="H70" s="1435" t="e">
        <f t="shared" si="2"/>
        <v>#DIV/0!</v>
      </c>
    </row>
    <row r="71" spans="1:8" s="1370" customFormat="1" ht="17.100000000000001" hidden="1" customHeight="1" thickBot="1">
      <c r="A71" s="1408"/>
      <c r="B71" s="1429"/>
      <c r="C71" s="1446" t="s">
        <v>742</v>
      </c>
      <c r="D71" s="1447" t="s">
        <v>743</v>
      </c>
      <c r="E71" s="1438">
        <v>0</v>
      </c>
      <c r="F71" s="1433"/>
      <c r="G71" s="1477"/>
      <c r="H71" s="1435" t="e">
        <f t="shared" si="2"/>
        <v>#DIV/0!</v>
      </c>
    </row>
    <row r="72" spans="1:8" s="1370" customFormat="1" ht="17.100000000000001" hidden="1" customHeight="1" thickBot="1">
      <c r="A72" s="1408"/>
      <c r="B72" s="1465" t="s">
        <v>751</v>
      </c>
      <c r="C72" s="1466"/>
      <c r="D72" s="1467" t="s">
        <v>752</v>
      </c>
      <c r="E72" s="1480">
        <v>0</v>
      </c>
      <c r="F72" s="1433"/>
      <c r="G72" s="1440"/>
      <c r="H72" s="1435" t="e">
        <f t="shared" si="2"/>
        <v>#DIV/0!</v>
      </c>
    </row>
    <row r="73" spans="1:8" s="1370" customFormat="1" ht="17.100000000000001" hidden="1" customHeight="1">
      <c r="A73" s="1408"/>
      <c r="B73" s="4357"/>
      <c r="C73" s="4358" t="s">
        <v>688</v>
      </c>
      <c r="D73" s="4358"/>
      <c r="E73" s="1417">
        <v>0</v>
      </c>
      <c r="F73" s="1433"/>
      <c r="G73" s="1440"/>
      <c r="H73" s="1435" t="e">
        <f t="shared" si="2"/>
        <v>#DIV/0!</v>
      </c>
    </row>
    <row r="74" spans="1:8" s="1370" customFormat="1" ht="17.100000000000001" hidden="1" customHeight="1">
      <c r="A74" s="1408"/>
      <c r="B74" s="4357"/>
      <c r="C74" s="4999" t="s">
        <v>689</v>
      </c>
      <c r="D74" s="4999"/>
      <c r="E74" s="1438">
        <v>0</v>
      </c>
      <c r="F74" s="1433"/>
      <c r="G74" s="1440"/>
      <c r="H74" s="1435" t="e">
        <f t="shared" si="2"/>
        <v>#DIV/0!</v>
      </c>
    </row>
    <row r="75" spans="1:8" s="1370" customFormat="1" ht="17.100000000000001" hidden="1" customHeight="1">
      <c r="A75" s="1408"/>
      <c r="B75" s="4357"/>
      <c r="C75" s="5017" t="s">
        <v>690</v>
      </c>
      <c r="D75" s="5017"/>
      <c r="E75" s="1443">
        <v>0</v>
      </c>
      <c r="F75" s="1433"/>
      <c r="G75" s="1477"/>
      <c r="H75" s="1435" t="e">
        <f t="shared" si="2"/>
        <v>#DIV/0!</v>
      </c>
    </row>
    <row r="76" spans="1:8" s="1370" customFormat="1" ht="18.75" hidden="1" customHeight="1">
      <c r="A76" s="1408"/>
      <c r="B76" s="4357"/>
      <c r="C76" s="1436" t="s">
        <v>692</v>
      </c>
      <c r="D76" s="1437" t="s">
        <v>693</v>
      </c>
      <c r="E76" s="1438">
        <v>0</v>
      </c>
      <c r="F76" s="1433"/>
      <c r="G76" s="1477"/>
      <c r="H76" s="1435" t="e">
        <f t="shared" si="2"/>
        <v>#DIV/0!</v>
      </c>
    </row>
    <row r="77" spans="1:8" s="1370" customFormat="1" ht="17.100000000000001" hidden="1" customHeight="1">
      <c r="A77" s="1408"/>
      <c r="B77" s="4357"/>
      <c r="C77" s="1436" t="s">
        <v>694</v>
      </c>
      <c r="D77" s="1437" t="s">
        <v>695</v>
      </c>
      <c r="E77" s="1438">
        <v>0</v>
      </c>
      <c r="F77" s="1433"/>
      <c r="G77" s="1440"/>
      <c r="H77" s="1435" t="e">
        <f t="shared" si="2"/>
        <v>#DIV/0!</v>
      </c>
    </row>
    <row r="78" spans="1:8" s="1370" customFormat="1" ht="17.100000000000001" hidden="1" customHeight="1">
      <c r="A78" s="1408"/>
      <c r="B78" s="4357"/>
      <c r="C78" s="1436" t="s">
        <v>696</v>
      </c>
      <c r="D78" s="1437" t="s">
        <v>697</v>
      </c>
      <c r="E78" s="1438">
        <v>0</v>
      </c>
      <c r="F78" s="1433"/>
      <c r="G78" s="1440"/>
      <c r="H78" s="1435" t="e">
        <f t="shared" si="2"/>
        <v>#DIV/0!</v>
      </c>
    </row>
    <row r="79" spans="1:8" s="1370" customFormat="1" ht="17.100000000000001" hidden="1" customHeight="1">
      <c r="A79" s="1408"/>
      <c r="B79" s="4357"/>
      <c r="C79" s="1436" t="s">
        <v>698</v>
      </c>
      <c r="D79" s="1437" t="s">
        <v>750</v>
      </c>
      <c r="E79" s="1438">
        <v>0</v>
      </c>
      <c r="F79" s="1433"/>
      <c r="G79" s="1477"/>
      <c r="H79" s="1435" t="e">
        <f t="shared" si="2"/>
        <v>#DIV/0!</v>
      </c>
    </row>
    <row r="80" spans="1:8" s="1370" customFormat="1" ht="17.100000000000001" hidden="1" customHeight="1">
      <c r="A80" s="1408"/>
      <c r="B80" s="4357"/>
      <c r="C80" s="1470"/>
      <c r="D80" s="1481"/>
      <c r="E80" s="1482"/>
      <c r="F80" s="1433"/>
      <c r="G80" s="1440"/>
      <c r="H80" s="1435" t="e">
        <f t="shared" si="2"/>
        <v>#DIV/0!</v>
      </c>
    </row>
    <row r="81" spans="1:8" s="1370" customFormat="1" ht="17.100000000000001" hidden="1" customHeight="1">
      <c r="A81" s="1408"/>
      <c r="B81" s="4357"/>
      <c r="C81" s="5024" t="s">
        <v>704</v>
      </c>
      <c r="D81" s="5018"/>
      <c r="E81" s="1443">
        <v>0</v>
      </c>
      <c r="F81" s="1433"/>
      <c r="G81" s="1477"/>
      <c r="H81" s="1435" t="e">
        <f t="shared" si="2"/>
        <v>#DIV/0!</v>
      </c>
    </row>
    <row r="82" spans="1:8" s="1370" customFormat="1" ht="17.100000000000001" hidden="1" customHeight="1">
      <c r="A82" s="1408"/>
      <c r="B82" s="4357"/>
      <c r="C82" s="1483" t="s">
        <v>707</v>
      </c>
      <c r="D82" s="1484" t="s">
        <v>708</v>
      </c>
      <c r="E82" s="1476">
        <v>0</v>
      </c>
      <c r="F82" s="1433"/>
      <c r="G82" s="1485"/>
      <c r="H82" s="1435" t="e">
        <f t="shared" si="2"/>
        <v>#DIV/0!</v>
      </c>
    </row>
    <row r="83" spans="1:8" s="1370" customFormat="1" ht="17.100000000000001" hidden="1" customHeight="1">
      <c r="A83" s="1408"/>
      <c r="B83" s="4357"/>
      <c r="C83" s="1486" t="s">
        <v>711</v>
      </c>
      <c r="D83" s="1484" t="s">
        <v>712</v>
      </c>
      <c r="E83" s="1476">
        <v>0</v>
      </c>
      <c r="F83" s="1433"/>
      <c r="G83" s="1477"/>
      <c r="H83" s="1435" t="e">
        <f t="shared" si="2"/>
        <v>#DIV/0!</v>
      </c>
    </row>
    <row r="84" spans="1:8" s="1370" customFormat="1" ht="17.100000000000001" hidden="1" customHeight="1">
      <c r="A84" s="1408"/>
      <c r="B84" s="4357"/>
      <c r="C84" s="1436" t="s">
        <v>713</v>
      </c>
      <c r="D84" s="1437" t="s">
        <v>714</v>
      </c>
      <c r="E84" s="1438">
        <v>0</v>
      </c>
      <c r="F84" s="1433"/>
      <c r="G84" s="1477"/>
      <c r="H84" s="1435" t="e">
        <f t="shared" si="2"/>
        <v>#DIV/0!</v>
      </c>
    </row>
    <row r="85" spans="1:8" s="1370" customFormat="1" ht="17.100000000000001" hidden="1" customHeight="1">
      <c r="A85" s="1408"/>
      <c r="B85" s="4357"/>
      <c r="C85" s="1436" t="s">
        <v>715</v>
      </c>
      <c r="D85" s="1437" t="s">
        <v>716</v>
      </c>
      <c r="E85" s="1438">
        <v>0</v>
      </c>
      <c r="F85" s="1433"/>
      <c r="G85" s="1477"/>
      <c r="H85" s="1435" t="e">
        <f t="shared" si="2"/>
        <v>#DIV/0!</v>
      </c>
    </row>
    <row r="86" spans="1:8" s="1370" customFormat="1" ht="17.100000000000001" hidden="1" customHeight="1">
      <c r="A86" s="1408"/>
      <c r="B86" s="4357"/>
      <c r="C86" s="1436" t="s">
        <v>717</v>
      </c>
      <c r="D86" s="1437" t="s">
        <v>718</v>
      </c>
      <c r="E86" s="1438">
        <v>0</v>
      </c>
      <c r="F86" s="1433"/>
      <c r="G86" s="1440"/>
      <c r="H86" s="1435" t="e">
        <f t="shared" si="2"/>
        <v>#DIV/0!</v>
      </c>
    </row>
    <row r="87" spans="1:8" s="1370" customFormat="1" ht="16.5" hidden="1" customHeight="1">
      <c r="A87" s="1408"/>
      <c r="B87" s="4357"/>
      <c r="C87" s="1436" t="s">
        <v>719</v>
      </c>
      <c r="D87" s="1437" t="s">
        <v>720</v>
      </c>
      <c r="E87" s="1438">
        <v>0</v>
      </c>
      <c r="F87" s="1433"/>
      <c r="G87" s="1477"/>
      <c r="H87" s="1435" t="e">
        <f t="shared" si="2"/>
        <v>#DIV/0!</v>
      </c>
    </row>
    <row r="88" spans="1:8" s="1370" customFormat="1" ht="17.100000000000001" hidden="1" customHeight="1">
      <c r="A88" s="1408"/>
      <c r="B88" s="4357"/>
      <c r="C88" s="1436" t="s">
        <v>729</v>
      </c>
      <c r="D88" s="1437" t="s">
        <v>730</v>
      </c>
      <c r="E88" s="1438">
        <v>0</v>
      </c>
      <c r="F88" s="1433"/>
      <c r="G88" s="1440"/>
      <c r="H88" s="1435" t="e">
        <f t="shared" si="2"/>
        <v>#DIV/0!</v>
      </c>
    </row>
    <row r="89" spans="1:8" s="1370" customFormat="1" ht="17.100000000000001" hidden="1" customHeight="1">
      <c r="A89" s="1408"/>
      <c r="B89" s="4357"/>
      <c r="C89" s="1436" t="s">
        <v>731</v>
      </c>
      <c r="D89" s="1437" t="s">
        <v>732</v>
      </c>
      <c r="E89" s="1438">
        <v>0</v>
      </c>
      <c r="F89" s="1433"/>
      <c r="G89" s="1440"/>
      <c r="H89" s="1435" t="e">
        <f t="shared" si="2"/>
        <v>#DIV/0!</v>
      </c>
    </row>
    <row r="90" spans="1:8" s="1370" customFormat="1" ht="17.100000000000001" hidden="1" customHeight="1">
      <c r="A90" s="1408"/>
      <c r="B90" s="4357"/>
      <c r="C90" s="1462" t="s">
        <v>753</v>
      </c>
      <c r="D90" s="1463" t="s">
        <v>754</v>
      </c>
      <c r="E90" s="1438">
        <v>0</v>
      </c>
      <c r="F90" s="1433"/>
      <c r="G90" s="1477"/>
      <c r="H90" s="1435" t="e">
        <f t="shared" si="2"/>
        <v>#DIV/0!</v>
      </c>
    </row>
    <row r="91" spans="1:8" s="1370" customFormat="1" ht="17.100000000000001" hidden="1" customHeight="1">
      <c r="A91" s="1408"/>
      <c r="B91" s="4357"/>
      <c r="C91" s="5025"/>
      <c r="D91" s="5026"/>
      <c r="E91" s="1487"/>
      <c r="F91" s="1433"/>
      <c r="G91" s="1485"/>
      <c r="H91" s="1435" t="e">
        <f t="shared" si="2"/>
        <v>#DIV/0!</v>
      </c>
    </row>
    <row r="92" spans="1:8" s="1370" customFormat="1" ht="17.100000000000001" hidden="1" customHeight="1">
      <c r="A92" s="1408"/>
      <c r="B92" s="4357"/>
      <c r="C92" s="4466" t="s">
        <v>741</v>
      </c>
      <c r="D92" s="4466"/>
      <c r="E92" s="1488">
        <v>0</v>
      </c>
      <c r="F92" s="1433"/>
      <c r="G92" s="1485"/>
      <c r="H92" s="1435" t="e">
        <f t="shared" si="2"/>
        <v>#DIV/0!</v>
      </c>
    </row>
    <row r="93" spans="1:8" s="1370" customFormat="1" ht="17.100000000000001" hidden="1" customHeight="1">
      <c r="A93" s="1408"/>
      <c r="B93" s="4357"/>
      <c r="C93" s="1448" t="s">
        <v>742</v>
      </c>
      <c r="D93" s="1449" t="s">
        <v>743</v>
      </c>
      <c r="E93" s="1489">
        <v>0</v>
      </c>
      <c r="F93" s="1433"/>
      <c r="G93" s="1440"/>
      <c r="H93" s="1435" t="e">
        <f t="shared" si="2"/>
        <v>#DIV/0!</v>
      </c>
    </row>
    <row r="94" spans="1:8" s="1370" customFormat="1" ht="17.100000000000001" hidden="1" customHeight="1">
      <c r="A94" s="1408"/>
      <c r="B94" s="4357"/>
      <c r="C94" s="1470"/>
      <c r="D94" s="1470"/>
      <c r="E94" s="1454"/>
      <c r="F94" s="1433"/>
      <c r="G94" s="1440"/>
      <c r="H94" s="1435" t="e">
        <f t="shared" si="2"/>
        <v>#DIV/0!</v>
      </c>
    </row>
    <row r="95" spans="1:8" s="1370" customFormat="1" ht="17.100000000000001" hidden="1" customHeight="1">
      <c r="A95" s="1408"/>
      <c r="B95" s="4357"/>
      <c r="C95" s="5031" t="s">
        <v>744</v>
      </c>
      <c r="D95" s="5032"/>
      <c r="E95" s="1490">
        <v>0</v>
      </c>
      <c r="F95" s="1433"/>
      <c r="G95" s="1440"/>
      <c r="H95" s="1435" t="e">
        <f t="shared" si="2"/>
        <v>#DIV/0!</v>
      </c>
    </row>
    <row r="96" spans="1:8" s="1370" customFormat="1" ht="17.100000000000001" hidden="1" customHeight="1">
      <c r="A96" s="1408"/>
      <c r="B96" s="4357"/>
      <c r="C96" s="5014" t="s">
        <v>745</v>
      </c>
      <c r="D96" s="5014"/>
      <c r="E96" s="1438">
        <v>0</v>
      </c>
      <c r="F96" s="1433"/>
      <c r="G96" s="1477"/>
      <c r="H96" s="1435" t="e">
        <f t="shared" si="2"/>
        <v>#DIV/0!</v>
      </c>
    </row>
    <row r="97" spans="1:10" s="1370" customFormat="1" ht="20.25" hidden="1" customHeight="1">
      <c r="A97" s="1408"/>
      <c r="B97" s="4357"/>
      <c r="C97" s="1446" t="s">
        <v>755</v>
      </c>
      <c r="D97" s="1491" t="s">
        <v>747</v>
      </c>
      <c r="E97" s="1438">
        <v>0</v>
      </c>
      <c r="F97" s="1433"/>
      <c r="G97" s="1440"/>
      <c r="H97" s="1435" t="e">
        <f t="shared" si="2"/>
        <v>#DIV/0!</v>
      </c>
    </row>
    <row r="98" spans="1:10" s="1370" customFormat="1" ht="55.5" hidden="1" customHeight="1">
      <c r="A98" s="1408"/>
      <c r="B98" s="4357"/>
      <c r="C98" s="1492" t="s">
        <v>756</v>
      </c>
      <c r="D98" s="1493" t="s">
        <v>757</v>
      </c>
      <c r="E98" s="1438">
        <v>0</v>
      </c>
      <c r="F98" s="1433"/>
      <c r="G98" s="1440"/>
      <c r="H98" s="1435" t="e">
        <f t="shared" si="2"/>
        <v>#DIV/0!</v>
      </c>
    </row>
    <row r="99" spans="1:10" s="1370" customFormat="1" ht="17.100000000000001" hidden="1" customHeight="1">
      <c r="A99" s="1408"/>
      <c r="B99" s="4694"/>
      <c r="C99" s="1470"/>
      <c r="D99" s="1481"/>
      <c r="E99" s="1482"/>
      <c r="F99" s="1433"/>
      <c r="G99" s="1440"/>
      <c r="H99" s="1435" t="e">
        <f t="shared" si="2"/>
        <v>#DIV/0!</v>
      </c>
    </row>
    <row r="100" spans="1:10" s="1370" customFormat="1" ht="17.100000000000001" hidden="1" customHeight="1">
      <c r="A100" s="1408"/>
      <c r="B100" s="4694"/>
      <c r="C100" s="5018" t="s">
        <v>758</v>
      </c>
      <c r="D100" s="5033"/>
      <c r="E100" s="1438">
        <v>0</v>
      </c>
      <c r="F100" s="1433"/>
      <c r="G100" s="1477"/>
      <c r="H100" s="1435" t="e">
        <f t="shared" si="2"/>
        <v>#DIV/0!</v>
      </c>
    </row>
    <row r="101" spans="1:10" s="1370" customFormat="1" ht="17.100000000000001" hidden="1" customHeight="1" thickBot="1">
      <c r="A101" s="1408"/>
      <c r="B101" s="4694"/>
      <c r="C101" s="1494" t="s">
        <v>755</v>
      </c>
      <c r="D101" s="1495" t="s">
        <v>747</v>
      </c>
      <c r="E101" s="1496">
        <v>0</v>
      </c>
      <c r="F101" s="1497"/>
      <c r="G101" s="1498"/>
      <c r="H101" s="1499" t="e">
        <f t="shared" si="2"/>
        <v>#DIV/0!</v>
      </c>
    </row>
    <row r="102" spans="1:10" s="1370" customFormat="1" ht="17.100000000000001" customHeight="1" thickBot="1">
      <c r="A102" s="1408"/>
      <c r="B102" s="1500" t="s">
        <v>296</v>
      </c>
      <c r="C102" s="1501"/>
      <c r="D102" s="1502" t="s">
        <v>759</v>
      </c>
      <c r="E102" s="1503">
        <f t="shared" ref="E102:G103" si="3">SUM(E103)</f>
        <v>9000000</v>
      </c>
      <c r="F102" s="1504">
        <f t="shared" si="3"/>
        <v>9000129</v>
      </c>
      <c r="G102" s="1505">
        <f t="shared" si="3"/>
        <v>8810000</v>
      </c>
      <c r="H102" s="1506">
        <f t="shared" si="2"/>
        <v>0.97887485834925259</v>
      </c>
      <c r="J102" s="1370" t="s">
        <v>760</v>
      </c>
    </row>
    <row r="103" spans="1:10" s="1370" customFormat="1" ht="17.100000000000001" customHeight="1">
      <c r="A103" s="1408"/>
      <c r="B103" s="1507"/>
      <c r="C103" s="4841" t="s">
        <v>688</v>
      </c>
      <c r="D103" s="4883"/>
      <c r="E103" s="1417">
        <f t="shared" si="3"/>
        <v>9000000</v>
      </c>
      <c r="F103" s="1418">
        <f t="shared" si="3"/>
        <v>9000129</v>
      </c>
      <c r="G103" s="1508">
        <f t="shared" si="3"/>
        <v>8810000</v>
      </c>
      <c r="H103" s="1509">
        <f t="shared" si="2"/>
        <v>0.97887485834925259</v>
      </c>
    </row>
    <row r="104" spans="1:10" s="1370" customFormat="1" ht="17.100000000000001" customHeight="1">
      <c r="A104" s="1408"/>
      <c r="B104" s="1510"/>
      <c r="C104" s="4999" t="s">
        <v>761</v>
      </c>
      <c r="D104" s="5016"/>
      <c r="E104" s="1438">
        <f>SUM(E105:E139)</f>
        <v>9000000</v>
      </c>
      <c r="F104" s="1433">
        <f>SUM(F105:F139)</f>
        <v>9000129</v>
      </c>
      <c r="G104" s="1511">
        <f>SUM(G105:G139)</f>
        <v>8810000</v>
      </c>
      <c r="H104" s="1435">
        <f t="shared" si="2"/>
        <v>0.97887485834925259</v>
      </c>
    </row>
    <row r="105" spans="1:10" s="1370" customFormat="1" ht="63.75">
      <c r="A105" s="1408"/>
      <c r="B105" s="1510"/>
      <c r="C105" s="1512" t="s">
        <v>762</v>
      </c>
      <c r="D105" s="1513" t="s">
        <v>763</v>
      </c>
      <c r="E105" s="1438">
        <v>0</v>
      </c>
      <c r="F105" s="1433">
        <v>659716</v>
      </c>
      <c r="G105" s="1440">
        <v>0</v>
      </c>
      <c r="H105" s="1435">
        <f t="shared" si="2"/>
        <v>0</v>
      </c>
    </row>
    <row r="106" spans="1:10" s="1370" customFormat="1" ht="63.75">
      <c r="A106" s="1408"/>
      <c r="B106" s="1510"/>
      <c r="C106" s="1512" t="s">
        <v>623</v>
      </c>
      <c r="D106" s="1513" t="s">
        <v>763</v>
      </c>
      <c r="E106" s="1438">
        <v>0</v>
      </c>
      <c r="F106" s="1433">
        <v>377084</v>
      </c>
      <c r="G106" s="1440">
        <v>0</v>
      </c>
      <c r="H106" s="1435">
        <f t="shared" si="2"/>
        <v>0</v>
      </c>
    </row>
    <row r="107" spans="1:10" s="1370" customFormat="1" ht="57" customHeight="1">
      <c r="A107" s="1408"/>
      <c r="B107" s="1510"/>
      <c r="C107" s="1512" t="s">
        <v>437</v>
      </c>
      <c r="D107" s="1513" t="s">
        <v>764</v>
      </c>
      <c r="E107" s="1438">
        <v>0</v>
      </c>
      <c r="F107" s="1433">
        <v>128453</v>
      </c>
      <c r="G107" s="1440">
        <v>0</v>
      </c>
      <c r="H107" s="1435">
        <f t="shared" si="2"/>
        <v>0</v>
      </c>
    </row>
    <row r="108" spans="1:10" s="1370" customFormat="1" ht="54.75" customHeight="1">
      <c r="A108" s="1408"/>
      <c r="B108" s="1510"/>
      <c r="C108" s="1512" t="s">
        <v>448</v>
      </c>
      <c r="D108" s="1513" t="s">
        <v>764</v>
      </c>
      <c r="E108" s="1438">
        <v>0</v>
      </c>
      <c r="F108" s="1433">
        <v>73422</v>
      </c>
      <c r="G108" s="1440">
        <v>0</v>
      </c>
      <c r="H108" s="1435">
        <f t="shared" ref="H108:H145" si="4">G108/F108</f>
        <v>0</v>
      </c>
    </row>
    <row r="109" spans="1:10" s="1370" customFormat="1" ht="52.5" customHeight="1">
      <c r="A109" s="1429"/>
      <c r="B109" s="1510"/>
      <c r="C109" s="1514" t="s">
        <v>628</v>
      </c>
      <c r="D109" s="1515" t="s">
        <v>765</v>
      </c>
      <c r="E109" s="1438">
        <v>0</v>
      </c>
      <c r="F109" s="1433">
        <v>117</v>
      </c>
      <c r="G109" s="1440">
        <v>0</v>
      </c>
      <c r="H109" s="1435">
        <f t="shared" si="4"/>
        <v>0</v>
      </c>
    </row>
    <row r="110" spans="1:10" s="1370" customFormat="1" ht="54" customHeight="1" thickBot="1">
      <c r="A110" s="1516"/>
      <c r="B110" s="1517"/>
      <c r="C110" s="1518" t="s">
        <v>564</v>
      </c>
      <c r="D110" s="1519" t="s">
        <v>765</v>
      </c>
      <c r="E110" s="1520">
        <v>0</v>
      </c>
      <c r="F110" s="1521">
        <v>67</v>
      </c>
      <c r="G110" s="1522">
        <v>0</v>
      </c>
      <c r="H110" s="1523">
        <f t="shared" si="4"/>
        <v>0</v>
      </c>
    </row>
    <row r="111" spans="1:10" s="1370" customFormat="1" ht="17.100000000000001" customHeight="1">
      <c r="A111" s="1524"/>
      <c r="B111" s="1507"/>
      <c r="C111" s="1525" t="s">
        <v>766</v>
      </c>
      <c r="D111" s="1526" t="s">
        <v>693</v>
      </c>
      <c r="E111" s="1527">
        <v>2926980</v>
      </c>
      <c r="F111" s="1528">
        <v>3047877</v>
      </c>
      <c r="G111" s="1529">
        <v>3161610</v>
      </c>
      <c r="H111" s="1530">
        <f t="shared" si="4"/>
        <v>1.0373154822192627</v>
      </c>
    </row>
    <row r="112" spans="1:10" s="1370" customFormat="1" ht="17.100000000000001" customHeight="1">
      <c r="A112" s="1408"/>
      <c r="B112" s="1510"/>
      <c r="C112" s="1436" t="s">
        <v>767</v>
      </c>
      <c r="D112" s="1531" t="s">
        <v>693</v>
      </c>
      <c r="E112" s="1438">
        <v>1673020</v>
      </c>
      <c r="F112" s="1433">
        <v>1742123</v>
      </c>
      <c r="G112" s="1440">
        <v>1808390</v>
      </c>
      <c r="H112" s="1435">
        <f t="shared" si="4"/>
        <v>1.0380380719386633</v>
      </c>
    </row>
    <row r="113" spans="1:8" s="1370" customFormat="1" ht="17.100000000000001" customHeight="1">
      <c r="A113" s="1429"/>
      <c r="B113" s="1510"/>
      <c r="C113" s="1446" t="s">
        <v>768</v>
      </c>
      <c r="D113" s="1491" t="s">
        <v>695</v>
      </c>
      <c r="E113" s="1438">
        <v>222006</v>
      </c>
      <c r="F113" s="1433">
        <v>202917</v>
      </c>
      <c r="G113" s="1440">
        <v>254520</v>
      </c>
      <c r="H113" s="1435">
        <f t="shared" si="4"/>
        <v>1.2543059477520366</v>
      </c>
    </row>
    <row r="114" spans="1:8" s="1370" customFormat="1" ht="17.100000000000001" customHeight="1">
      <c r="A114" s="1408"/>
      <c r="B114" s="1532"/>
      <c r="C114" s="1448" t="s">
        <v>769</v>
      </c>
      <c r="D114" s="1533" t="s">
        <v>695</v>
      </c>
      <c r="E114" s="1450">
        <v>127994</v>
      </c>
      <c r="F114" s="1433">
        <v>117083</v>
      </c>
      <c r="G114" s="1440">
        <v>145480</v>
      </c>
      <c r="H114" s="1435">
        <f t="shared" si="4"/>
        <v>1.2425373453020507</v>
      </c>
    </row>
    <row r="115" spans="1:8" s="1370" customFormat="1" ht="17.100000000000001" customHeight="1">
      <c r="A115" s="1408"/>
      <c r="B115" s="1532"/>
      <c r="C115" s="1436" t="s">
        <v>770</v>
      </c>
      <c r="D115" s="1531" t="s">
        <v>697</v>
      </c>
      <c r="E115" s="1438">
        <v>535765</v>
      </c>
      <c r="F115" s="1433">
        <v>558036</v>
      </c>
      <c r="G115" s="1477">
        <v>604485</v>
      </c>
      <c r="H115" s="1435">
        <f t="shared" si="4"/>
        <v>1.0832365653828786</v>
      </c>
    </row>
    <row r="116" spans="1:8" s="1370" customFormat="1" ht="17.100000000000001" customHeight="1">
      <c r="A116" s="1408"/>
      <c r="B116" s="1532"/>
      <c r="C116" s="1436" t="s">
        <v>771</v>
      </c>
      <c r="D116" s="1531" t="s">
        <v>697</v>
      </c>
      <c r="E116" s="1438">
        <v>306235</v>
      </c>
      <c r="F116" s="1433">
        <v>318964</v>
      </c>
      <c r="G116" s="1440">
        <v>345515</v>
      </c>
      <c r="H116" s="1435">
        <f t="shared" si="4"/>
        <v>1.0832413689319171</v>
      </c>
    </row>
    <row r="117" spans="1:8" s="1370" customFormat="1" ht="16.5" customHeight="1">
      <c r="A117" s="1408"/>
      <c r="B117" s="1532"/>
      <c r="C117" s="1436" t="s">
        <v>772</v>
      </c>
      <c r="D117" s="1531" t="s">
        <v>699</v>
      </c>
      <c r="E117" s="1438">
        <v>79537</v>
      </c>
      <c r="F117" s="1433">
        <v>82719</v>
      </c>
      <c r="G117" s="1440">
        <v>89082</v>
      </c>
      <c r="H117" s="1435">
        <f t="shared" si="4"/>
        <v>1.0769230769230769</v>
      </c>
    </row>
    <row r="118" spans="1:8" s="1370" customFormat="1" ht="16.5" customHeight="1">
      <c r="A118" s="1408"/>
      <c r="B118" s="1532"/>
      <c r="C118" s="1436" t="s">
        <v>773</v>
      </c>
      <c r="D118" s="1531" t="s">
        <v>699</v>
      </c>
      <c r="E118" s="1438">
        <v>45463</v>
      </c>
      <c r="F118" s="1433">
        <v>47281</v>
      </c>
      <c r="G118" s="1440">
        <v>50918</v>
      </c>
      <c r="H118" s="1435">
        <f t="shared" si="4"/>
        <v>1.0769230769230769</v>
      </c>
    </row>
    <row r="119" spans="1:8" s="1370" customFormat="1" ht="17.100000000000001" customHeight="1">
      <c r="A119" s="1408"/>
      <c r="B119" s="1532"/>
      <c r="C119" s="1436" t="s">
        <v>774</v>
      </c>
      <c r="D119" s="1531" t="s">
        <v>701</v>
      </c>
      <c r="E119" s="1438">
        <v>6363</v>
      </c>
      <c r="F119" s="1433">
        <v>6363</v>
      </c>
      <c r="G119" s="1440">
        <v>6363</v>
      </c>
      <c r="H119" s="1435">
        <f t="shared" si="4"/>
        <v>1</v>
      </c>
    </row>
    <row r="120" spans="1:8" s="1370" customFormat="1" ht="17.100000000000001" customHeight="1">
      <c r="A120" s="1408"/>
      <c r="B120" s="1532"/>
      <c r="C120" s="1436" t="s">
        <v>775</v>
      </c>
      <c r="D120" s="1531" t="s">
        <v>701</v>
      </c>
      <c r="E120" s="1438">
        <v>3637</v>
      </c>
      <c r="F120" s="1433">
        <v>3637</v>
      </c>
      <c r="G120" s="1440">
        <v>3637</v>
      </c>
      <c r="H120" s="1435">
        <f t="shared" si="4"/>
        <v>1</v>
      </c>
    </row>
    <row r="121" spans="1:8" s="1370" customFormat="1" ht="17.100000000000001" customHeight="1">
      <c r="A121" s="1408"/>
      <c r="B121" s="1532"/>
      <c r="C121" s="1436" t="s">
        <v>776</v>
      </c>
      <c r="D121" s="1531" t="s">
        <v>777</v>
      </c>
      <c r="E121" s="1438">
        <v>190890</v>
      </c>
      <c r="F121" s="1433">
        <v>82719</v>
      </c>
      <c r="G121" s="1440">
        <v>190890</v>
      </c>
      <c r="H121" s="1435">
        <f t="shared" si="4"/>
        <v>2.3076923076923075</v>
      </c>
    </row>
    <row r="122" spans="1:8" s="1370" customFormat="1" ht="17.100000000000001" customHeight="1">
      <c r="A122" s="1408"/>
      <c r="B122" s="1532"/>
      <c r="C122" s="1436" t="s">
        <v>778</v>
      </c>
      <c r="D122" s="1531" t="s">
        <v>777</v>
      </c>
      <c r="E122" s="1438">
        <v>109110</v>
      </c>
      <c r="F122" s="1433">
        <v>47281</v>
      </c>
      <c r="G122" s="1440">
        <v>109110</v>
      </c>
      <c r="H122" s="1435">
        <f t="shared" si="4"/>
        <v>2.3076923076923075</v>
      </c>
    </row>
    <row r="123" spans="1:8" s="1370" customFormat="1" ht="17.100000000000001" customHeight="1">
      <c r="A123" s="1408"/>
      <c r="B123" s="1532"/>
      <c r="C123" s="1436" t="s">
        <v>779</v>
      </c>
      <c r="D123" s="1531" t="s">
        <v>708</v>
      </c>
      <c r="E123" s="1438">
        <v>336602</v>
      </c>
      <c r="F123" s="1433">
        <v>321966</v>
      </c>
      <c r="G123" s="1440">
        <v>463226</v>
      </c>
      <c r="H123" s="1435">
        <f t="shared" si="4"/>
        <v>1.4387419789667233</v>
      </c>
    </row>
    <row r="124" spans="1:8" s="1370" customFormat="1" ht="17.100000000000001" customHeight="1">
      <c r="A124" s="1408"/>
      <c r="B124" s="1532"/>
      <c r="C124" s="1436" t="s">
        <v>780</v>
      </c>
      <c r="D124" s="1531" t="s">
        <v>708</v>
      </c>
      <c r="E124" s="1438">
        <v>192398</v>
      </c>
      <c r="F124" s="1433">
        <v>184034</v>
      </c>
      <c r="G124" s="1440">
        <v>264774</v>
      </c>
      <c r="H124" s="1435">
        <f t="shared" si="4"/>
        <v>1.438723279394025</v>
      </c>
    </row>
    <row r="125" spans="1:8" s="1370" customFormat="1" ht="17.100000000000001" customHeight="1">
      <c r="A125" s="1408"/>
      <c r="B125" s="1532"/>
      <c r="C125" s="1436" t="s">
        <v>781</v>
      </c>
      <c r="D125" s="1531" t="s">
        <v>714</v>
      </c>
      <c r="E125" s="1438">
        <v>6999</v>
      </c>
      <c r="F125" s="1433">
        <v>13362</v>
      </c>
      <c r="G125" s="1440">
        <v>13362</v>
      </c>
      <c r="H125" s="1435">
        <f t="shared" si="4"/>
        <v>1</v>
      </c>
    </row>
    <row r="126" spans="1:8" s="1370" customFormat="1" ht="17.100000000000001" customHeight="1">
      <c r="A126" s="1408"/>
      <c r="B126" s="1532"/>
      <c r="C126" s="1436" t="s">
        <v>782</v>
      </c>
      <c r="D126" s="1531" t="s">
        <v>714</v>
      </c>
      <c r="E126" s="1438">
        <v>4001</v>
      </c>
      <c r="F126" s="1433">
        <v>7638</v>
      </c>
      <c r="G126" s="1440">
        <v>7638</v>
      </c>
      <c r="H126" s="1435">
        <f t="shared" si="4"/>
        <v>1</v>
      </c>
    </row>
    <row r="127" spans="1:8" s="1370" customFormat="1" ht="17.100000000000001" customHeight="1">
      <c r="A127" s="1408"/>
      <c r="B127" s="1532"/>
      <c r="C127" s="1436" t="s">
        <v>783</v>
      </c>
      <c r="D127" s="1531" t="s">
        <v>718</v>
      </c>
      <c r="E127" s="1438">
        <v>1352138</v>
      </c>
      <c r="F127" s="1433">
        <v>565241</v>
      </c>
      <c r="G127" s="1440">
        <v>747652</v>
      </c>
      <c r="H127" s="1435">
        <f t="shared" si="4"/>
        <v>1.3227136743442178</v>
      </c>
    </row>
    <row r="128" spans="1:8" s="1370" customFormat="1" ht="17.100000000000001" customHeight="1">
      <c r="A128" s="1408"/>
      <c r="B128" s="1532"/>
      <c r="C128" s="1436" t="s">
        <v>784</v>
      </c>
      <c r="D128" s="1531" t="s">
        <v>718</v>
      </c>
      <c r="E128" s="1438">
        <v>772862</v>
      </c>
      <c r="F128" s="1433">
        <v>323084</v>
      </c>
      <c r="G128" s="1440">
        <v>427348</v>
      </c>
      <c r="H128" s="1435">
        <f t="shared" si="4"/>
        <v>1.3227148357702641</v>
      </c>
    </row>
    <row r="129" spans="1:10" s="1370" customFormat="1" ht="17.100000000000001" customHeight="1">
      <c r="A129" s="1408"/>
      <c r="B129" s="1532"/>
      <c r="C129" s="1436" t="s">
        <v>785</v>
      </c>
      <c r="D129" s="1531" t="s">
        <v>722</v>
      </c>
      <c r="E129" s="1438">
        <v>2545</v>
      </c>
      <c r="F129" s="1433">
        <v>2545</v>
      </c>
      <c r="G129" s="1440">
        <v>3181</v>
      </c>
      <c r="H129" s="1435">
        <f t="shared" si="4"/>
        <v>1.2499017681728881</v>
      </c>
    </row>
    <row r="130" spans="1:10" s="1370" customFormat="1" ht="17.100000000000001" customHeight="1">
      <c r="A130" s="1408"/>
      <c r="B130" s="1532"/>
      <c r="C130" s="1436" t="s">
        <v>786</v>
      </c>
      <c r="D130" s="1531" t="s">
        <v>722</v>
      </c>
      <c r="E130" s="1438">
        <v>1455</v>
      </c>
      <c r="F130" s="1433">
        <v>1455</v>
      </c>
      <c r="G130" s="1440">
        <v>1819</v>
      </c>
      <c r="H130" s="1435">
        <f t="shared" si="4"/>
        <v>1.2501718213058419</v>
      </c>
    </row>
    <row r="131" spans="1:10" s="1370" customFormat="1" ht="17.100000000000001" customHeight="1">
      <c r="A131" s="1408"/>
      <c r="B131" s="1532"/>
      <c r="C131" s="1436" t="s">
        <v>787</v>
      </c>
      <c r="D131" s="1531" t="s">
        <v>726</v>
      </c>
      <c r="E131" s="1438">
        <v>10817</v>
      </c>
      <c r="F131" s="1433">
        <v>10181</v>
      </c>
      <c r="G131" s="1440">
        <v>10817</v>
      </c>
      <c r="H131" s="1435">
        <f t="shared" si="4"/>
        <v>1.0624693055691976</v>
      </c>
    </row>
    <row r="132" spans="1:10" s="1370" customFormat="1" ht="17.100000000000001" customHeight="1">
      <c r="A132" s="1408"/>
      <c r="B132" s="1532"/>
      <c r="C132" s="1436" t="s">
        <v>788</v>
      </c>
      <c r="D132" s="1531" t="s">
        <v>726</v>
      </c>
      <c r="E132" s="1438">
        <v>6183</v>
      </c>
      <c r="F132" s="1433">
        <v>5819</v>
      </c>
      <c r="G132" s="1440">
        <v>6183</v>
      </c>
      <c r="H132" s="1435">
        <f t="shared" si="4"/>
        <v>1.0625537033854615</v>
      </c>
    </row>
    <row r="133" spans="1:10" s="1370" customFormat="1" ht="17.100000000000001" customHeight="1">
      <c r="A133" s="1408"/>
      <c r="B133" s="1532"/>
      <c r="C133" s="1436" t="s">
        <v>789</v>
      </c>
      <c r="D133" s="1531" t="s">
        <v>728</v>
      </c>
      <c r="E133" s="1438">
        <v>12726</v>
      </c>
      <c r="F133" s="1433">
        <v>6363</v>
      </c>
      <c r="G133" s="1440">
        <v>12726</v>
      </c>
      <c r="H133" s="1435">
        <f t="shared" si="4"/>
        <v>2</v>
      </c>
    </row>
    <row r="134" spans="1:10" s="1370" customFormat="1" ht="17.100000000000001" customHeight="1">
      <c r="A134" s="1408"/>
      <c r="B134" s="1532"/>
      <c r="C134" s="1436" t="s">
        <v>790</v>
      </c>
      <c r="D134" s="1531" t="s">
        <v>728</v>
      </c>
      <c r="E134" s="1438">
        <v>7274</v>
      </c>
      <c r="F134" s="1433">
        <v>3637</v>
      </c>
      <c r="G134" s="1440">
        <v>7274</v>
      </c>
      <c r="H134" s="1435">
        <f t="shared" si="4"/>
        <v>2</v>
      </c>
    </row>
    <row r="135" spans="1:10" s="1370" customFormat="1" ht="52.5" customHeight="1">
      <c r="A135" s="1408"/>
      <c r="B135" s="1532"/>
      <c r="C135" s="1436" t="s">
        <v>791</v>
      </c>
      <c r="D135" s="1534" t="s">
        <v>792</v>
      </c>
      <c r="E135" s="1438"/>
      <c r="F135" s="1433">
        <v>10</v>
      </c>
      <c r="G135" s="1440">
        <v>0</v>
      </c>
      <c r="H135" s="1435">
        <f t="shared" si="4"/>
        <v>0</v>
      </c>
    </row>
    <row r="136" spans="1:10" s="1370" customFormat="1" ht="17.25" customHeight="1">
      <c r="A136" s="1408"/>
      <c r="B136" s="1532"/>
      <c r="C136" s="1436" t="s">
        <v>793</v>
      </c>
      <c r="D136" s="1531" t="s">
        <v>740</v>
      </c>
      <c r="E136" s="1438">
        <v>21634</v>
      </c>
      <c r="F136" s="1433">
        <v>16544</v>
      </c>
      <c r="G136" s="1440">
        <v>21634</v>
      </c>
      <c r="H136" s="1435">
        <f t="shared" si="4"/>
        <v>1.307664410058027</v>
      </c>
    </row>
    <row r="137" spans="1:10" s="1370" customFormat="1" ht="19.5" customHeight="1">
      <c r="A137" s="1408"/>
      <c r="B137" s="1532"/>
      <c r="C137" s="1436" t="s">
        <v>794</v>
      </c>
      <c r="D137" s="1531" t="s">
        <v>740</v>
      </c>
      <c r="E137" s="1438">
        <v>12366</v>
      </c>
      <c r="F137" s="1433">
        <v>9456</v>
      </c>
      <c r="G137" s="1440">
        <v>12366</v>
      </c>
      <c r="H137" s="1435">
        <f t="shared" si="4"/>
        <v>1.3077411167512691</v>
      </c>
    </row>
    <row r="138" spans="1:10" s="1370" customFormat="1" ht="19.5" customHeight="1">
      <c r="A138" s="1408"/>
      <c r="B138" s="1532"/>
      <c r="C138" s="1436" t="s">
        <v>795</v>
      </c>
      <c r="D138" s="1531" t="s">
        <v>703</v>
      </c>
      <c r="E138" s="1438">
        <v>20998</v>
      </c>
      <c r="F138" s="1433">
        <v>20998</v>
      </c>
      <c r="G138" s="1440">
        <v>25452</v>
      </c>
      <c r="H138" s="1435">
        <f t="shared" si="4"/>
        <v>1.212115439565673</v>
      </c>
    </row>
    <row r="139" spans="1:10" s="1370" customFormat="1" ht="19.5" customHeight="1" thickBot="1">
      <c r="A139" s="1429"/>
      <c r="B139" s="1535"/>
      <c r="C139" s="1536" t="s">
        <v>796</v>
      </c>
      <c r="D139" s="1537" t="s">
        <v>703</v>
      </c>
      <c r="E139" s="1464">
        <v>12002</v>
      </c>
      <c r="F139" s="1538">
        <v>11937</v>
      </c>
      <c r="G139" s="1539">
        <v>14548</v>
      </c>
      <c r="H139" s="1540">
        <f t="shared" si="4"/>
        <v>1.2187316746251151</v>
      </c>
    </row>
    <row r="140" spans="1:10" s="1370" customFormat="1" ht="17.100000000000001" customHeight="1" thickBot="1">
      <c r="A140" s="1408"/>
      <c r="B140" s="1541" t="s">
        <v>6</v>
      </c>
      <c r="C140" s="1542"/>
      <c r="D140" s="1543" t="s">
        <v>303</v>
      </c>
      <c r="E140" s="1544">
        <f>SUM(E141,E151)</f>
        <v>12500000</v>
      </c>
      <c r="F140" s="1545">
        <f>SUM(F141,F151)</f>
        <v>20678132</v>
      </c>
      <c r="G140" s="1546">
        <f>SUM(G141,G151)</f>
        <v>12000000</v>
      </c>
      <c r="H140" s="1547">
        <f t="shared" si="4"/>
        <v>0.58032321294786204</v>
      </c>
    </row>
    <row r="141" spans="1:10" s="1370" customFormat="1" ht="17.100000000000001" customHeight="1">
      <c r="A141" s="1408"/>
      <c r="B141" s="1548"/>
      <c r="C141" s="4358" t="s">
        <v>688</v>
      </c>
      <c r="D141" s="4358"/>
      <c r="E141" s="1417">
        <f>SUM(E142,E147)</f>
        <v>4595000</v>
      </c>
      <c r="F141" s="1418">
        <f>SUM(F142,F147)</f>
        <v>4843132</v>
      </c>
      <c r="G141" s="1549">
        <f>SUM(G142,G147)</f>
        <v>4255000</v>
      </c>
      <c r="H141" s="1509">
        <f t="shared" si="4"/>
        <v>0.87856370629584324</v>
      </c>
      <c r="J141" s="1370" t="s">
        <v>691</v>
      </c>
    </row>
    <row r="142" spans="1:10" s="1370" customFormat="1" ht="17.100000000000001" customHeight="1">
      <c r="A142" s="1408"/>
      <c r="B142" s="1548"/>
      <c r="C142" s="4999" t="s">
        <v>689</v>
      </c>
      <c r="D142" s="4999"/>
      <c r="E142" s="1438">
        <f>SUM(E143)</f>
        <v>380000</v>
      </c>
      <c r="F142" s="1433">
        <f>SUM(F143)</f>
        <v>420000</v>
      </c>
      <c r="G142" s="1550">
        <f>SUM(G143)</f>
        <v>140000</v>
      </c>
      <c r="H142" s="1435">
        <f t="shared" si="4"/>
        <v>0.33333333333333331</v>
      </c>
    </row>
    <row r="143" spans="1:10" s="1370" customFormat="1" ht="17.100000000000001" customHeight="1">
      <c r="A143" s="1408"/>
      <c r="B143" s="1548"/>
      <c r="C143" s="5018" t="s">
        <v>704</v>
      </c>
      <c r="D143" s="5018"/>
      <c r="E143" s="1443">
        <f>SUM(E144:E145)</f>
        <v>380000</v>
      </c>
      <c r="F143" s="1426">
        <f>SUM(F144:F145)</f>
        <v>420000</v>
      </c>
      <c r="G143" s="1551">
        <f>SUM(G144:G145)</f>
        <v>140000</v>
      </c>
      <c r="H143" s="1428">
        <f t="shared" si="4"/>
        <v>0.33333333333333331</v>
      </c>
    </row>
    <row r="144" spans="1:10" s="1370" customFormat="1" ht="17.100000000000001" customHeight="1">
      <c r="A144" s="1408"/>
      <c r="B144" s="1548"/>
      <c r="C144" s="1436" t="s">
        <v>707</v>
      </c>
      <c r="D144" s="1437" t="s">
        <v>708</v>
      </c>
      <c r="E144" s="1438">
        <v>350000</v>
      </c>
      <c r="F144" s="1433">
        <v>390000</v>
      </c>
      <c r="G144" s="1440">
        <v>110000</v>
      </c>
      <c r="H144" s="1435">
        <f t="shared" si="4"/>
        <v>0.28205128205128205</v>
      </c>
    </row>
    <row r="145" spans="1:8" s="1370" customFormat="1" ht="17.100000000000001" customHeight="1">
      <c r="A145" s="1408"/>
      <c r="B145" s="1548"/>
      <c r="C145" s="1446" t="s">
        <v>717</v>
      </c>
      <c r="D145" s="1447" t="s">
        <v>718</v>
      </c>
      <c r="E145" s="1438">
        <v>30000</v>
      </c>
      <c r="F145" s="1433">
        <v>30000</v>
      </c>
      <c r="G145" s="1440">
        <v>30000</v>
      </c>
      <c r="H145" s="1435">
        <f t="shared" si="4"/>
        <v>1</v>
      </c>
    </row>
    <row r="146" spans="1:8" s="1370" customFormat="1" ht="17.100000000000001" customHeight="1">
      <c r="A146" s="1429"/>
      <c r="B146" s="1548"/>
      <c r="C146" s="5008"/>
      <c r="D146" s="5009"/>
      <c r="E146" s="1454"/>
      <c r="F146" s="1451"/>
      <c r="G146" s="1552"/>
      <c r="H146" s="1453"/>
    </row>
    <row r="147" spans="1:8" s="1370" customFormat="1" ht="17.100000000000001" customHeight="1">
      <c r="A147" s="1408"/>
      <c r="B147" s="1548"/>
      <c r="C147" s="4999" t="s">
        <v>797</v>
      </c>
      <c r="D147" s="4999"/>
      <c r="E147" s="1438">
        <f>SUM(E148:E149)</f>
        <v>4215000</v>
      </c>
      <c r="F147" s="1433">
        <f>SUM(F148:F149)</f>
        <v>4423132</v>
      </c>
      <c r="G147" s="1550">
        <f>SUM(G148:G149)</f>
        <v>4115000</v>
      </c>
      <c r="H147" s="1435">
        <f>G147/F147</f>
        <v>0.9303362413782813</v>
      </c>
    </row>
    <row r="148" spans="1:8" s="1370" customFormat="1" ht="40.5" customHeight="1">
      <c r="A148" s="1408"/>
      <c r="B148" s="1548"/>
      <c r="C148" s="1436" t="s">
        <v>798</v>
      </c>
      <c r="D148" s="1437" t="s">
        <v>799</v>
      </c>
      <c r="E148" s="1438">
        <v>4140000</v>
      </c>
      <c r="F148" s="1433">
        <v>4386632</v>
      </c>
      <c r="G148" s="1440">
        <v>4065000</v>
      </c>
      <c r="H148" s="1435">
        <f>G148/F148</f>
        <v>0.92667905582232568</v>
      </c>
    </row>
    <row r="149" spans="1:8" s="1370" customFormat="1" ht="42.75" customHeight="1">
      <c r="A149" s="1408"/>
      <c r="B149" s="1548"/>
      <c r="C149" s="1436" t="s">
        <v>645</v>
      </c>
      <c r="D149" s="1437" t="s">
        <v>800</v>
      </c>
      <c r="E149" s="1438">
        <v>75000</v>
      </c>
      <c r="F149" s="1433">
        <v>36500</v>
      </c>
      <c r="G149" s="1440">
        <v>50000</v>
      </c>
      <c r="H149" s="1435">
        <f>G149/F149</f>
        <v>1.3698630136986301</v>
      </c>
    </row>
    <row r="150" spans="1:8" s="1370" customFormat="1" ht="17.100000000000001" customHeight="1">
      <c r="A150" s="1408"/>
      <c r="B150" s="4357"/>
      <c r="C150" s="5011"/>
      <c r="D150" s="5012"/>
      <c r="E150" s="1454"/>
      <c r="F150" s="1433"/>
      <c r="G150" s="1440"/>
      <c r="H150" s="1435"/>
    </row>
    <row r="151" spans="1:8" s="1370" customFormat="1" ht="17.100000000000001" customHeight="1">
      <c r="A151" s="1408"/>
      <c r="B151" s="4357"/>
      <c r="C151" s="5013" t="s">
        <v>744</v>
      </c>
      <c r="D151" s="5013"/>
      <c r="E151" s="1553">
        <f>SUM(E152)</f>
        <v>7905000</v>
      </c>
      <c r="F151" s="1459">
        <f>SUM(F152)</f>
        <v>15835000</v>
      </c>
      <c r="G151" s="1554">
        <f>SUM(G152)</f>
        <v>7745000</v>
      </c>
      <c r="H151" s="1461">
        <f t="shared" ref="H151:H168" si="5">G151/F151</f>
        <v>0.48910640985159459</v>
      </c>
    </row>
    <row r="152" spans="1:8" s="1370" customFormat="1" ht="17.100000000000001" customHeight="1">
      <c r="A152" s="1408"/>
      <c r="B152" s="4357"/>
      <c r="C152" s="5014" t="s">
        <v>745</v>
      </c>
      <c r="D152" s="5014"/>
      <c r="E152" s="1438">
        <f>SUM(E153:E155)</f>
        <v>7905000</v>
      </c>
      <c r="F152" s="1433">
        <f>SUM(F153:F155)</f>
        <v>15835000</v>
      </c>
      <c r="G152" s="1550">
        <f>SUM(G153:G155)</f>
        <v>7745000</v>
      </c>
      <c r="H152" s="1435">
        <f t="shared" si="5"/>
        <v>0.48910640985159459</v>
      </c>
    </row>
    <row r="153" spans="1:8" s="1370" customFormat="1" ht="17.100000000000001" customHeight="1">
      <c r="A153" s="1408"/>
      <c r="B153" s="4357"/>
      <c r="C153" s="1436" t="s">
        <v>746</v>
      </c>
      <c r="D153" s="1437" t="s">
        <v>801</v>
      </c>
      <c r="E153" s="1438">
        <v>170000</v>
      </c>
      <c r="F153" s="1433">
        <v>170000</v>
      </c>
      <c r="G153" s="1440">
        <v>420000</v>
      </c>
      <c r="H153" s="1435">
        <f t="shared" si="5"/>
        <v>2.4705882352941178</v>
      </c>
    </row>
    <row r="154" spans="1:8" s="1370" customFormat="1" ht="45" customHeight="1">
      <c r="A154" s="1408"/>
      <c r="B154" s="4357"/>
      <c r="C154" s="1436" t="s">
        <v>802</v>
      </c>
      <c r="D154" s="1437" t="s">
        <v>803</v>
      </c>
      <c r="E154" s="1438">
        <v>7660000</v>
      </c>
      <c r="F154" s="1433">
        <v>15590000</v>
      </c>
      <c r="G154" s="1440">
        <v>7305000</v>
      </c>
      <c r="H154" s="1435">
        <f t="shared" si="5"/>
        <v>0.46856959589480435</v>
      </c>
    </row>
    <row r="155" spans="1:8" s="1370" customFormat="1" ht="42.75" customHeight="1" thickBot="1">
      <c r="A155" s="1429"/>
      <c r="B155" s="5010"/>
      <c r="C155" s="1536" t="s">
        <v>804</v>
      </c>
      <c r="D155" s="1555" t="s">
        <v>805</v>
      </c>
      <c r="E155" s="1464">
        <v>75000</v>
      </c>
      <c r="F155" s="1433">
        <v>75000</v>
      </c>
      <c r="G155" s="1477">
        <v>20000</v>
      </c>
      <c r="H155" s="1435">
        <f t="shared" si="5"/>
        <v>0.26666666666666666</v>
      </c>
    </row>
    <row r="156" spans="1:8" ht="16.5" hidden="1" customHeight="1">
      <c r="A156" s="1556"/>
      <c r="B156" s="1557" t="s">
        <v>806</v>
      </c>
      <c r="C156" s="1558"/>
      <c r="D156" s="1559" t="s">
        <v>807</v>
      </c>
      <c r="E156" s="1560">
        <v>0</v>
      </c>
      <c r="F156" s="1561"/>
      <c r="G156" s="1562"/>
      <c r="H156" s="1563" t="e">
        <f t="shared" si="5"/>
        <v>#DIV/0!</v>
      </c>
    </row>
    <row r="157" spans="1:8" ht="15.75" hidden="1" customHeight="1" thickBot="1">
      <c r="A157" s="1556"/>
      <c r="B157" s="1564"/>
      <c r="C157" s="4997" t="s">
        <v>744</v>
      </c>
      <c r="D157" s="4997"/>
      <c r="E157" s="1565">
        <v>0</v>
      </c>
      <c r="F157" s="1561"/>
      <c r="G157" s="1562"/>
      <c r="H157" s="1563" t="e">
        <f t="shared" si="5"/>
        <v>#DIV/0!</v>
      </c>
    </row>
    <row r="158" spans="1:8" ht="16.5" hidden="1" customHeight="1" thickBot="1">
      <c r="A158" s="1556"/>
      <c r="B158" s="1564"/>
      <c r="C158" s="4998" t="s">
        <v>745</v>
      </c>
      <c r="D158" s="4998"/>
      <c r="E158" s="1566">
        <v>0</v>
      </c>
      <c r="F158" s="1561"/>
      <c r="G158" s="1567"/>
      <c r="H158" s="1563" t="e">
        <f t="shared" si="5"/>
        <v>#DIV/0!</v>
      </c>
    </row>
    <row r="159" spans="1:8" ht="51.75" hidden="1" thickBot="1">
      <c r="A159" s="1556"/>
      <c r="B159" s="1564"/>
      <c r="C159" s="1568" t="s">
        <v>756</v>
      </c>
      <c r="D159" s="1569" t="s">
        <v>808</v>
      </c>
      <c r="E159" s="1570">
        <v>0</v>
      </c>
      <c r="F159" s="1561"/>
      <c r="G159" s="1562"/>
      <c r="H159" s="1571" t="e">
        <f t="shared" si="5"/>
        <v>#DIV/0!</v>
      </c>
    </row>
    <row r="160" spans="1:8" s="1370" customFormat="1" ht="17.100000000000001" customHeight="1" thickBot="1">
      <c r="A160" s="1408"/>
      <c r="B160" s="1500" t="s">
        <v>311</v>
      </c>
      <c r="C160" s="1501"/>
      <c r="D160" s="1502" t="s">
        <v>312</v>
      </c>
      <c r="E160" s="1503">
        <f>SUM(E161)</f>
        <v>9581317</v>
      </c>
      <c r="F160" s="1504">
        <f>SUM(F161)</f>
        <v>8721812</v>
      </c>
      <c r="G160" s="1505">
        <f>SUM(G161)</f>
        <v>10240856</v>
      </c>
      <c r="H160" s="1506">
        <f t="shared" si="5"/>
        <v>1.1741661021815191</v>
      </c>
    </row>
    <row r="161" spans="1:10" s="1370" customFormat="1" ht="17.100000000000001" customHeight="1">
      <c r="A161" s="1408"/>
      <c r="B161" s="1469"/>
      <c r="C161" s="4735" t="s">
        <v>688</v>
      </c>
      <c r="D161" s="4735"/>
      <c r="E161" s="1572">
        <f>SUM(E162,E181)</f>
        <v>9581317</v>
      </c>
      <c r="F161" s="1418">
        <f>SUM(F162,F181)</f>
        <v>8721812</v>
      </c>
      <c r="G161" s="1549">
        <f>SUM(G162,G181)</f>
        <v>10240856</v>
      </c>
      <c r="H161" s="1509">
        <f t="shared" si="5"/>
        <v>1.1741661021815191</v>
      </c>
    </row>
    <row r="162" spans="1:10" s="1370" customFormat="1" ht="17.100000000000001" customHeight="1">
      <c r="A162" s="1408"/>
      <c r="B162" s="1469"/>
      <c r="C162" s="4999" t="s">
        <v>689</v>
      </c>
      <c r="D162" s="4999"/>
      <c r="E162" s="1438">
        <f>SUM(E163,E170)</f>
        <v>6209817</v>
      </c>
      <c r="F162" s="1433">
        <f>SUM(F163,F170)</f>
        <v>5234509</v>
      </c>
      <c r="G162" s="1550">
        <f>SUM(G163,G170)</f>
        <v>6869356</v>
      </c>
      <c r="H162" s="1435">
        <f t="shared" si="5"/>
        <v>1.3123209836872951</v>
      </c>
    </row>
    <row r="163" spans="1:10" s="1370" customFormat="1" ht="17.100000000000001" customHeight="1">
      <c r="A163" s="1408"/>
      <c r="B163" s="1469"/>
      <c r="C163" s="5000" t="s">
        <v>690</v>
      </c>
      <c r="D163" s="5001"/>
      <c r="E163" s="1443">
        <f>SUM(E164:E168)</f>
        <v>1400826</v>
      </c>
      <c r="F163" s="1426">
        <f>SUM(F164:F168)</f>
        <v>1400826</v>
      </c>
      <c r="G163" s="1551">
        <f>SUM(G164:G168)</f>
        <v>1844067</v>
      </c>
      <c r="H163" s="1428">
        <f t="shared" si="5"/>
        <v>1.3164140300080096</v>
      </c>
      <c r="J163" s="1370" t="s">
        <v>809</v>
      </c>
    </row>
    <row r="164" spans="1:10" s="1370" customFormat="1" ht="17.100000000000001" customHeight="1">
      <c r="A164" s="1408"/>
      <c r="B164" s="1469"/>
      <c r="C164" s="1573" t="s">
        <v>692</v>
      </c>
      <c r="D164" s="1574" t="s">
        <v>693</v>
      </c>
      <c r="E164" s="1438">
        <v>1093947</v>
      </c>
      <c r="F164" s="1433">
        <v>1093947</v>
      </c>
      <c r="G164" s="1440">
        <v>1449560</v>
      </c>
      <c r="H164" s="1435">
        <f t="shared" si="5"/>
        <v>1.325073335362682</v>
      </c>
    </row>
    <row r="165" spans="1:10" s="1370" customFormat="1" ht="17.100000000000001" customHeight="1">
      <c r="A165" s="1408"/>
      <c r="B165" s="1469"/>
      <c r="C165" s="1573" t="s">
        <v>694</v>
      </c>
      <c r="D165" s="1437" t="s">
        <v>695</v>
      </c>
      <c r="E165" s="1438">
        <v>73884</v>
      </c>
      <c r="F165" s="1433">
        <v>73884</v>
      </c>
      <c r="G165" s="1477">
        <v>94536</v>
      </c>
      <c r="H165" s="1435">
        <f t="shared" si="5"/>
        <v>1.279519246386227</v>
      </c>
    </row>
    <row r="166" spans="1:10" s="1370" customFormat="1" ht="17.100000000000001" customHeight="1">
      <c r="A166" s="1408"/>
      <c r="B166" s="1469"/>
      <c r="C166" s="1573" t="s">
        <v>696</v>
      </c>
      <c r="D166" s="1574" t="s">
        <v>697</v>
      </c>
      <c r="E166" s="1438">
        <v>202142</v>
      </c>
      <c r="F166" s="1433">
        <v>202142</v>
      </c>
      <c r="G166" s="1477">
        <v>254624</v>
      </c>
      <c r="H166" s="1435">
        <f t="shared" si="5"/>
        <v>1.2596293694531566</v>
      </c>
    </row>
    <row r="167" spans="1:10" s="1370" customFormat="1" ht="16.5" customHeight="1">
      <c r="A167" s="1408"/>
      <c r="B167" s="1469"/>
      <c r="C167" s="1575" t="s">
        <v>698</v>
      </c>
      <c r="D167" s="1576" t="s">
        <v>699</v>
      </c>
      <c r="E167" s="1438">
        <v>28853</v>
      </c>
      <c r="F167" s="1433">
        <v>28853</v>
      </c>
      <c r="G167" s="1440">
        <v>40955</v>
      </c>
      <c r="H167" s="1435">
        <f t="shared" si="5"/>
        <v>1.4194364537483104</v>
      </c>
    </row>
    <row r="168" spans="1:10" s="1370" customFormat="1" ht="16.5" customHeight="1">
      <c r="A168" s="1408"/>
      <c r="B168" s="1469"/>
      <c r="C168" s="1575" t="s">
        <v>702</v>
      </c>
      <c r="D168" s="1576" t="s">
        <v>703</v>
      </c>
      <c r="E168" s="1438">
        <v>2000</v>
      </c>
      <c r="F168" s="1433">
        <v>2000</v>
      </c>
      <c r="G168" s="1440">
        <v>4392</v>
      </c>
      <c r="H168" s="1435">
        <f t="shared" si="5"/>
        <v>2.1960000000000002</v>
      </c>
    </row>
    <row r="169" spans="1:10" s="1370" customFormat="1" ht="17.100000000000001" customHeight="1">
      <c r="A169" s="1429"/>
      <c r="B169" s="1469"/>
      <c r="C169" s="5002"/>
      <c r="D169" s="5003"/>
      <c r="E169" s="1438"/>
      <c r="F169" s="1433"/>
      <c r="G169" s="1477"/>
      <c r="H169" s="1435"/>
    </row>
    <row r="170" spans="1:10" s="1370" customFormat="1" ht="17.100000000000001" customHeight="1">
      <c r="A170" s="1408"/>
      <c r="B170" s="1469"/>
      <c r="C170" s="4427" t="s">
        <v>704</v>
      </c>
      <c r="D170" s="4427"/>
      <c r="E170" s="1577">
        <f>SUM(E172:E179)</f>
        <v>4808991</v>
      </c>
      <c r="F170" s="1578">
        <f>SUM(F172:F179)</f>
        <v>3833683</v>
      </c>
      <c r="G170" s="1579">
        <f>SUM(G172:G179)</f>
        <v>5025289</v>
      </c>
      <c r="H170" s="1580">
        <f t="shared" ref="H170:H179" si="6">G170/F170</f>
        <v>1.3108253864495316</v>
      </c>
      <c r="J170" s="1370" t="s">
        <v>691</v>
      </c>
    </row>
    <row r="171" spans="1:10" s="1370" customFormat="1" ht="17.100000000000001" hidden="1" customHeight="1">
      <c r="A171" s="1408"/>
      <c r="B171" s="1469"/>
      <c r="C171" s="1581" t="s">
        <v>705</v>
      </c>
      <c r="D171" s="1442" t="s">
        <v>706</v>
      </c>
      <c r="E171" s="1438">
        <v>0</v>
      </c>
      <c r="F171" s="1433"/>
      <c r="G171" s="1440"/>
      <c r="H171" s="1435" t="e">
        <f t="shared" si="6"/>
        <v>#DIV/0!</v>
      </c>
    </row>
    <row r="172" spans="1:10" s="1370" customFormat="1" ht="17.100000000000001" customHeight="1">
      <c r="A172" s="1408"/>
      <c r="B172" s="1469"/>
      <c r="C172" s="1436" t="s">
        <v>810</v>
      </c>
      <c r="D172" s="1442" t="s">
        <v>777</v>
      </c>
      <c r="E172" s="1438">
        <v>16500</v>
      </c>
      <c r="F172" s="1433">
        <v>18281</v>
      </c>
      <c r="G172" s="1440">
        <v>34000</v>
      </c>
      <c r="H172" s="1435">
        <f t="shared" si="6"/>
        <v>1.8598544937366666</v>
      </c>
    </row>
    <row r="173" spans="1:10" s="1370" customFormat="1" ht="17.100000000000001" customHeight="1" thickBot="1">
      <c r="A173" s="1516"/>
      <c r="B173" s="1582"/>
      <c r="C173" s="1536" t="s">
        <v>707</v>
      </c>
      <c r="D173" s="1583" t="s">
        <v>708</v>
      </c>
      <c r="E173" s="1584">
        <v>46000</v>
      </c>
      <c r="F173" s="1538">
        <v>116000</v>
      </c>
      <c r="G173" s="1539">
        <v>77000</v>
      </c>
      <c r="H173" s="1540">
        <f t="shared" si="6"/>
        <v>0.66379310344827591</v>
      </c>
    </row>
    <row r="174" spans="1:10" s="1370" customFormat="1" ht="17.100000000000001" customHeight="1">
      <c r="A174" s="1585"/>
      <c r="B174" s="1524"/>
      <c r="C174" s="1525" t="s">
        <v>717</v>
      </c>
      <c r="D174" s="1586" t="s">
        <v>718</v>
      </c>
      <c r="E174" s="1527">
        <v>1266491</v>
      </c>
      <c r="F174" s="1528">
        <v>219402</v>
      </c>
      <c r="G174" s="1587">
        <f>209185+1225104</f>
        <v>1434289</v>
      </c>
      <c r="H174" s="1530">
        <f t="shared" si="6"/>
        <v>6.5372649292166889</v>
      </c>
      <c r="J174" s="1370" t="s">
        <v>760</v>
      </c>
    </row>
    <row r="175" spans="1:10" s="1370" customFormat="1" ht="17.100000000000001" customHeight="1">
      <c r="A175" s="1408"/>
      <c r="B175" s="1429"/>
      <c r="C175" s="1436" t="s">
        <v>721</v>
      </c>
      <c r="D175" s="1437" t="s">
        <v>722</v>
      </c>
      <c r="E175" s="1438">
        <v>208000</v>
      </c>
      <c r="F175" s="1433">
        <v>208000</v>
      </c>
      <c r="G175" s="1477">
        <v>208000</v>
      </c>
      <c r="H175" s="1435">
        <f t="shared" si="6"/>
        <v>1</v>
      </c>
    </row>
    <row r="176" spans="1:10" s="1370" customFormat="1" ht="17.100000000000001" hidden="1" customHeight="1">
      <c r="A176" s="1408"/>
      <c r="B176" s="1429"/>
      <c r="C176" s="1436" t="s">
        <v>729</v>
      </c>
      <c r="D176" s="1437" t="s">
        <v>730</v>
      </c>
      <c r="E176" s="1438">
        <v>0</v>
      </c>
      <c r="F176" s="1433"/>
      <c r="G176" s="1440"/>
      <c r="H176" s="1435" t="e">
        <f t="shared" si="6"/>
        <v>#DIV/0!</v>
      </c>
    </row>
    <row r="177" spans="1:10" s="1370" customFormat="1" ht="51" hidden="1" customHeight="1">
      <c r="A177" s="1408"/>
      <c r="B177" s="1429"/>
      <c r="C177" s="1436" t="s">
        <v>811</v>
      </c>
      <c r="D177" s="1437" t="s">
        <v>812</v>
      </c>
      <c r="E177" s="1438">
        <v>0</v>
      </c>
      <c r="F177" s="1433"/>
      <c r="G177" s="1440"/>
      <c r="H177" s="1435" t="e">
        <f t="shared" si="6"/>
        <v>#DIV/0!</v>
      </c>
    </row>
    <row r="178" spans="1:10" s="1370" customFormat="1" ht="17.100000000000001" customHeight="1">
      <c r="A178" s="1408"/>
      <c r="B178" s="1429"/>
      <c r="C178" s="1436" t="s">
        <v>813</v>
      </c>
      <c r="D178" s="1437" t="s">
        <v>814</v>
      </c>
      <c r="E178" s="1438">
        <v>3267000</v>
      </c>
      <c r="F178" s="1433">
        <v>3267000</v>
      </c>
      <c r="G178" s="1440">
        <v>3267000</v>
      </c>
      <c r="H178" s="1435">
        <f t="shared" si="6"/>
        <v>1</v>
      </c>
    </row>
    <row r="179" spans="1:10" s="1370" customFormat="1" ht="17.100000000000001" customHeight="1">
      <c r="A179" s="1408"/>
      <c r="B179" s="1429"/>
      <c r="C179" s="1436" t="s">
        <v>815</v>
      </c>
      <c r="D179" s="1437" t="s">
        <v>816</v>
      </c>
      <c r="E179" s="1438">
        <v>5000</v>
      </c>
      <c r="F179" s="1433">
        <v>5000</v>
      </c>
      <c r="G179" s="1440">
        <v>5000</v>
      </c>
      <c r="H179" s="1435">
        <f t="shared" si="6"/>
        <v>1</v>
      </c>
    </row>
    <row r="180" spans="1:10" s="1370" customFormat="1" ht="17.100000000000001" customHeight="1">
      <c r="A180" s="1408"/>
      <c r="B180" s="1429"/>
      <c r="C180" s="1588"/>
      <c r="D180" s="1589"/>
      <c r="E180" s="1588"/>
      <c r="F180" s="1433"/>
      <c r="G180" s="1477"/>
      <c r="H180" s="1435"/>
    </row>
    <row r="181" spans="1:10" s="1370" customFormat="1" ht="17.100000000000001" customHeight="1">
      <c r="A181" s="1429"/>
      <c r="B181" s="1429"/>
      <c r="C181" s="4464" t="s">
        <v>797</v>
      </c>
      <c r="D181" s="4464"/>
      <c r="E181" s="1450">
        <f>SUM(E182)</f>
        <v>3371500</v>
      </c>
      <c r="F181" s="1451">
        <f>SUM(F182)</f>
        <v>3487303</v>
      </c>
      <c r="G181" s="1590">
        <f>SUM(G182)</f>
        <v>3371500</v>
      </c>
      <c r="H181" s="1453">
        <f t="shared" ref="H181:H224" si="7">G181/F181</f>
        <v>0.96679296292865857</v>
      </c>
    </row>
    <row r="182" spans="1:10" s="1370" customFormat="1" ht="53.25" customHeight="1" thickBot="1">
      <c r="A182" s="1516"/>
      <c r="B182" s="1591"/>
      <c r="C182" s="1536" t="s">
        <v>374</v>
      </c>
      <c r="D182" s="1555" t="s">
        <v>817</v>
      </c>
      <c r="E182" s="1464">
        <v>3371500</v>
      </c>
      <c r="F182" s="1538">
        <v>3487303</v>
      </c>
      <c r="G182" s="1539">
        <v>3371500</v>
      </c>
      <c r="H182" s="1540">
        <f t="shared" si="7"/>
        <v>0.96679296292865857</v>
      </c>
      <c r="J182" s="1370" t="s">
        <v>691</v>
      </c>
    </row>
    <row r="183" spans="1:10" s="1370" customFormat="1" ht="53.25" hidden="1" customHeight="1" thickBot="1">
      <c r="A183" s="1408"/>
      <c r="B183" s="1429"/>
      <c r="C183" s="1592" t="s">
        <v>309</v>
      </c>
      <c r="D183" s="1593" t="s">
        <v>341</v>
      </c>
      <c r="E183" s="1450">
        <v>0</v>
      </c>
      <c r="F183" s="1451"/>
      <c r="G183" s="1452"/>
      <c r="H183" s="1594" t="e">
        <f t="shared" si="7"/>
        <v>#DIV/0!</v>
      </c>
    </row>
    <row r="184" spans="1:10" s="1370" customFormat="1" ht="17.100000000000001" customHeight="1" thickBot="1">
      <c r="A184" s="1595" t="s">
        <v>317</v>
      </c>
      <c r="B184" s="1596"/>
      <c r="C184" s="1597"/>
      <c r="D184" s="1598" t="s">
        <v>818</v>
      </c>
      <c r="E184" s="1599">
        <f t="shared" ref="E184:G186" si="8">SUM(E185)</f>
        <v>500000</v>
      </c>
      <c r="F184" s="1600">
        <f t="shared" si="8"/>
        <v>500015</v>
      </c>
      <c r="G184" s="1601">
        <f t="shared" si="8"/>
        <v>400000</v>
      </c>
      <c r="H184" s="1602">
        <f t="shared" si="7"/>
        <v>0.79997600071997843</v>
      </c>
    </row>
    <row r="185" spans="1:10" s="1370" customFormat="1" ht="42.75" customHeight="1" thickBot="1">
      <c r="A185" s="1585"/>
      <c r="B185" s="1500" t="s">
        <v>319</v>
      </c>
      <c r="C185" s="1501"/>
      <c r="D185" s="1502" t="s">
        <v>819</v>
      </c>
      <c r="E185" s="1503">
        <f t="shared" si="8"/>
        <v>500000</v>
      </c>
      <c r="F185" s="1504">
        <f t="shared" si="8"/>
        <v>500015</v>
      </c>
      <c r="G185" s="1505">
        <f t="shared" si="8"/>
        <v>400000</v>
      </c>
      <c r="H185" s="1506">
        <f t="shared" si="7"/>
        <v>0.79997600071997843</v>
      </c>
    </row>
    <row r="186" spans="1:10" s="1370" customFormat="1" ht="17.100000000000001" customHeight="1">
      <c r="A186" s="1408"/>
      <c r="B186" s="5015"/>
      <c r="C186" s="4358" t="s">
        <v>688</v>
      </c>
      <c r="D186" s="4358"/>
      <c r="E186" s="1417">
        <f t="shared" si="8"/>
        <v>500000</v>
      </c>
      <c r="F186" s="1418">
        <f t="shared" si="8"/>
        <v>500015</v>
      </c>
      <c r="G186" s="1549">
        <f t="shared" si="8"/>
        <v>400000</v>
      </c>
      <c r="H186" s="1509">
        <f t="shared" si="7"/>
        <v>0.79997600071997843</v>
      </c>
      <c r="J186" s="1370" t="s">
        <v>760</v>
      </c>
    </row>
    <row r="187" spans="1:10" s="1370" customFormat="1" ht="17.100000000000001" customHeight="1">
      <c r="A187" s="1408"/>
      <c r="B187" s="4357"/>
      <c r="C187" s="4999" t="s">
        <v>761</v>
      </c>
      <c r="D187" s="4999"/>
      <c r="E187" s="1438">
        <f>SUM(E188:E216)</f>
        <v>500000</v>
      </c>
      <c r="F187" s="1433">
        <f>SUM(F188:F216)</f>
        <v>500015</v>
      </c>
      <c r="G187" s="1550">
        <f>SUM(G188:G216)</f>
        <v>400000</v>
      </c>
      <c r="H187" s="1435">
        <f t="shared" si="7"/>
        <v>0.79997600071997843</v>
      </c>
    </row>
    <row r="188" spans="1:10" s="1370" customFormat="1" ht="56.25" customHeight="1">
      <c r="A188" s="1408"/>
      <c r="B188" s="4357"/>
      <c r="C188" s="1512" t="s">
        <v>628</v>
      </c>
      <c r="D188" s="1603" t="s">
        <v>765</v>
      </c>
      <c r="E188" s="1604">
        <v>0</v>
      </c>
      <c r="F188" s="1433">
        <v>10</v>
      </c>
      <c r="G188" s="1440">
        <v>0</v>
      </c>
      <c r="H188" s="1435">
        <f t="shared" si="7"/>
        <v>0</v>
      </c>
    </row>
    <row r="189" spans="1:10" s="1370" customFormat="1" ht="56.25" customHeight="1">
      <c r="A189" s="1408"/>
      <c r="B189" s="4357"/>
      <c r="C189" s="1512" t="s">
        <v>564</v>
      </c>
      <c r="D189" s="1603" t="s">
        <v>765</v>
      </c>
      <c r="E189" s="1604">
        <v>0</v>
      </c>
      <c r="F189" s="1433">
        <v>4</v>
      </c>
      <c r="G189" s="1440">
        <v>0</v>
      </c>
      <c r="H189" s="1435">
        <f t="shared" si="7"/>
        <v>0</v>
      </c>
    </row>
    <row r="190" spans="1:10" s="1370" customFormat="1" ht="17.100000000000001" customHeight="1">
      <c r="A190" s="1408"/>
      <c r="B190" s="4357"/>
      <c r="C190" s="1448" t="s">
        <v>766</v>
      </c>
      <c r="D190" s="1605" t="s">
        <v>693</v>
      </c>
      <c r="E190" s="1606">
        <v>265500</v>
      </c>
      <c r="F190" s="1433">
        <v>265500</v>
      </c>
      <c r="G190" s="1440">
        <v>157500</v>
      </c>
      <c r="H190" s="1435">
        <f t="shared" si="7"/>
        <v>0.59322033898305082</v>
      </c>
    </row>
    <row r="191" spans="1:10" s="1370" customFormat="1" ht="17.100000000000001" customHeight="1">
      <c r="A191" s="1408"/>
      <c r="B191" s="1429"/>
      <c r="C191" s="1607" t="s">
        <v>767</v>
      </c>
      <c r="D191" s="1605" t="s">
        <v>693</v>
      </c>
      <c r="E191" s="1606">
        <v>88500</v>
      </c>
      <c r="F191" s="1433">
        <v>88500</v>
      </c>
      <c r="G191" s="1608">
        <v>52500</v>
      </c>
      <c r="H191" s="1435">
        <f t="shared" si="7"/>
        <v>0.59322033898305082</v>
      </c>
    </row>
    <row r="192" spans="1:10" s="1370" customFormat="1" ht="17.100000000000001" customHeight="1">
      <c r="A192" s="1408"/>
      <c r="B192" s="1429"/>
      <c r="C192" s="1607" t="s">
        <v>768</v>
      </c>
      <c r="D192" s="1605" t="s">
        <v>695</v>
      </c>
      <c r="E192" s="1606">
        <v>19500</v>
      </c>
      <c r="F192" s="1433">
        <v>19500</v>
      </c>
      <c r="G192" s="1608">
        <v>26250</v>
      </c>
      <c r="H192" s="1435">
        <f t="shared" si="7"/>
        <v>1.3461538461538463</v>
      </c>
    </row>
    <row r="193" spans="1:8" s="1370" customFormat="1" ht="17.100000000000001" customHeight="1">
      <c r="A193" s="1408"/>
      <c r="B193" s="1429"/>
      <c r="C193" s="1607" t="s">
        <v>769</v>
      </c>
      <c r="D193" s="1605" t="s">
        <v>695</v>
      </c>
      <c r="E193" s="1606">
        <v>6500</v>
      </c>
      <c r="F193" s="1433">
        <v>6500</v>
      </c>
      <c r="G193" s="1608">
        <v>8750</v>
      </c>
      <c r="H193" s="1435">
        <f t="shared" si="7"/>
        <v>1.3461538461538463</v>
      </c>
    </row>
    <row r="194" spans="1:8" s="1370" customFormat="1" ht="17.100000000000001" customHeight="1">
      <c r="A194" s="1408"/>
      <c r="B194" s="1429"/>
      <c r="C194" s="1607" t="s">
        <v>770</v>
      </c>
      <c r="D194" s="1605" t="s">
        <v>697</v>
      </c>
      <c r="E194" s="1606">
        <v>50250</v>
      </c>
      <c r="F194" s="1433">
        <v>50250</v>
      </c>
      <c r="G194" s="1440">
        <v>33750</v>
      </c>
      <c r="H194" s="1435">
        <f t="shared" si="7"/>
        <v>0.67164179104477617</v>
      </c>
    </row>
    <row r="195" spans="1:8" s="1370" customFormat="1" ht="17.100000000000001" customHeight="1">
      <c r="A195" s="1408"/>
      <c r="B195" s="1429"/>
      <c r="C195" s="1607" t="s">
        <v>771</v>
      </c>
      <c r="D195" s="1605" t="s">
        <v>697</v>
      </c>
      <c r="E195" s="1606">
        <v>16750</v>
      </c>
      <c r="F195" s="1433">
        <v>16750</v>
      </c>
      <c r="G195" s="1608">
        <v>11250</v>
      </c>
      <c r="H195" s="1435">
        <f t="shared" si="7"/>
        <v>0.67164179104477617</v>
      </c>
    </row>
    <row r="196" spans="1:8" s="1370" customFormat="1" ht="16.5" customHeight="1">
      <c r="A196" s="1429"/>
      <c r="B196" s="1429"/>
      <c r="C196" s="1609" t="s">
        <v>772</v>
      </c>
      <c r="D196" s="1610" t="s">
        <v>699</v>
      </c>
      <c r="E196" s="1604">
        <v>7500</v>
      </c>
      <c r="F196" s="1433">
        <v>7500</v>
      </c>
      <c r="G196" s="1608">
        <v>6000</v>
      </c>
      <c r="H196" s="1435">
        <f t="shared" si="7"/>
        <v>0.8</v>
      </c>
    </row>
    <row r="197" spans="1:8" s="1370" customFormat="1" ht="16.5" customHeight="1">
      <c r="A197" s="1408"/>
      <c r="B197" s="1429"/>
      <c r="C197" s="1448" t="s">
        <v>773</v>
      </c>
      <c r="D197" s="1449" t="s">
        <v>699</v>
      </c>
      <c r="E197" s="1450">
        <v>2500</v>
      </c>
      <c r="F197" s="1451">
        <v>2500</v>
      </c>
      <c r="G197" s="1452">
        <v>2000</v>
      </c>
      <c r="H197" s="1453">
        <f t="shared" si="7"/>
        <v>0.8</v>
      </c>
    </row>
    <row r="198" spans="1:8" s="1370" customFormat="1" ht="17.100000000000001" hidden="1" customHeight="1">
      <c r="A198" s="1408"/>
      <c r="B198" s="1429"/>
      <c r="C198" s="1607" t="s">
        <v>774</v>
      </c>
      <c r="D198" s="1605" t="s">
        <v>701</v>
      </c>
      <c r="E198" s="1606">
        <v>0</v>
      </c>
      <c r="F198" s="1433"/>
      <c r="G198" s="1440"/>
      <c r="H198" s="1435" t="e">
        <f t="shared" si="7"/>
        <v>#DIV/0!</v>
      </c>
    </row>
    <row r="199" spans="1:8" s="1370" customFormat="1" ht="17.100000000000001" hidden="1" customHeight="1">
      <c r="A199" s="1408"/>
      <c r="B199" s="1429"/>
      <c r="C199" s="1607" t="s">
        <v>775</v>
      </c>
      <c r="D199" s="1605" t="s">
        <v>701</v>
      </c>
      <c r="E199" s="1606">
        <v>0</v>
      </c>
      <c r="F199" s="1433"/>
      <c r="G199" s="1440"/>
      <c r="H199" s="1435" t="e">
        <f t="shared" si="7"/>
        <v>#DIV/0!</v>
      </c>
    </row>
    <row r="200" spans="1:8" s="1370" customFormat="1" ht="17.100000000000001" customHeight="1">
      <c r="A200" s="1408"/>
      <c r="B200" s="1429"/>
      <c r="C200" s="1607" t="s">
        <v>779</v>
      </c>
      <c r="D200" s="1605" t="s">
        <v>708</v>
      </c>
      <c r="E200" s="1606">
        <v>15000</v>
      </c>
      <c r="F200" s="1433">
        <v>15000</v>
      </c>
      <c r="G200" s="1440">
        <v>54750</v>
      </c>
      <c r="H200" s="1435">
        <f t="shared" si="7"/>
        <v>3.65</v>
      </c>
    </row>
    <row r="201" spans="1:8" s="1370" customFormat="1" ht="17.100000000000001" customHeight="1">
      <c r="A201" s="1408"/>
      <c r="B201" s="1429"/>
      <c r="C201" s="1607" t="s">
        <v>780</v>
      </c>
      <c r="D201" s="1605" t="s">
        <v>708</v>
      </c>
      <c r="E201" s="1606">
        <v>5000</v>
      </c>
      <c r="F201" s="1433">
        <v>5000</v>
      </c>
      <c r="G201" s="1440">
        <v>18250</v>
      </c>
      <c r="H201" s="1435">
        <f t="shared" si="7"/>
        <v>3.65</v>
      </c>
    </row>
    <row r="202" spans="1:8" s="1370" customFormat="1" ht="17.100000000000001" customHeight="1">
      <c r="A202" s="1408"/>
      <c r="B202" s="1429"/>
      <c r="C202" s="1607" t="s">
        <v>781</v>
      </c>
      <c r="D202" s="1605" t="s">
        <v>714</v>
      </c>
      <c r="E202" s="1606">
        <v>2250</v>
      </c>
      <c r="F202" s="1433">
        <v>2250</v>
      </c>
      <c r="G202" s="1608">
        <v>2250</v>
      </c>
      <c r="H202" s="1435">
        <f t="shared" si="7"/>
        <v>1</v>
      </c>
    </row>
    <row r="203" spans="1:8" s="1370" customFormat="1" ht="17.100000000000001" customHeight="1">
      <c r="A203" s="1408"/>
      <c r="B203" s="1429"/>
      <c r="C203" s="1607" t="s">
        <v>782</v>
      </c>
      <c r="D203" s="1605" t="s">
        <v>714</v>
      </c>
      <c r="E203" s="1606">
        <v>750</v>
      </c>
      <c r="F203" s="1433">
        <v>750</v>
      </c>
      <c r="G203" s="1440">
        <v>750</v>
      </c>
      <c r="H203" s="1435">
        <f t="shared" si="7"/>
        <v>1</v>
      </c>
    </row>
    <row r="204" spans="1:8" s="1370" customFormat="1" ht="17.100000000000001" customHeight="1">
      <c r="A204" s="1408"/>
      <c r="B204" s="1429"/>
      <c r="C204" s="1607" t="s">
        <v>783</v>
      </c>
      <c r="D204" s="1605" t="s">
        <v>718</v>
      </c>
      <c r="E204" s="1606">
        <v>7500</v>
      </c>
      <c r="F204" s="1433">
        <v>7500</v>
      </c>
      <c r="G204" s="1440">
        <v>13500</v>
      </c>
      <c r="H204" s="1435">
        <f t="shared" si="7"/>
        <v>1.8</v>
      </c>
    </row>
    <row r="205" spans="1:8" s="1370" customFormat="1" ht="15.75" customHeight="1">
      <c r="A205" s="1408"/>
      <c r="B205" s="1429"/>
      <c r="C205" s="1607" t="s">
        <v>784</v>
      </c>
      <c r="D205" s="1605" t="s">
        <v>718</v>
      </c>
      <c r="E205" s="1606">
        <v>2500</v>
      </c>
      <c r="F205" s="1433">
        <v>2500</v>
      </c>
      <c r="G205" s="1608">
        <v>4500</v>
      </c>
      <c r="H205" s="1435">
        <f t="shared" si="7"/>
        <v>1.8</v>
      </c>
    </row>
    <row r="206" spans="1:8" s="1370" customFormat="1" ht="15.75" hidden="1" customHeight="1">
      <c r="A206" s="1408"/>
      <c r="B206" s="1429"/>
      <c r="C206" s="1607" t="s">
        <v>785</v>
      </c>
      <c r="D206" s="1605" t="s">
        <v>820</v>
      </c>
      <c r="E206" s="1606">
        <v>0</v>
      </c>
      <c r="F206" s="1433"/>
      <c r="G206" s="1440"/>
      <c r="H206" s="1435" t="e">
        <f t="shared" si="7"/>
        <v>#DIV/0!</v>
      </c>
    </row>
    <row r="207" spans="1:8" s="1370" customFormat="1" ht="16.5" hidden="1" customHeight="1">
      <c r="A207" s="1408"/>
      <c r="B207" s="1429"/>
      <c r="C207" s="1607" t="s">
        <v>786</v>
      </c>
      <c r="D207" s="1605" t="s">
        <v>820</v>
      </c>
      <c r="E207" s="1606">
        <v>0</v>
      </c>
      <c r="F207" s="1433"/>
      <c r="G207" s="1440"/>
      <c r="H207" s="1435" t="e">
        <f t="shared" si="7"/>
        <v>#DIV/0!</v>
      </c>
    </row>
    <row r="208" spans="1:8" s="1370" customFormat="1" ht="17.100000000000001" customHeight="1">
      <c r="A208" s="1408"/>
      <c r="B208" s="1429"/>
      <c r="C208" s="1607" t="s">
        <v>787</v>
      </c>
      <c r="D208" s="1605" t="s">
        <v>726</v>
      </c>
      <c r="E208" s="1606">
        <v>1500</v>
      </c>
      <c r="F208" s="1433">
        <v>1500</v>
      </c>
      <c r="G208" s="1608">
        <v>1500</v>
      </c>
      <c r="H208" s="1435">
        <f t="shared" si="7"/>
        <v>1</v>
      </c>
    </row>
    <row r="209" spans="1:10" s="1370" customFormat="1" ht="17.100000000000001" customHeight="1">
      <c r="A209" s="1408"/>
      <c r="B209" s="1429"/>
      <c r="C209" s="1607" t="s">
        <v>788</v>
      </c>
      <c r="D209" s="1605" t="s">
        <v>726</v>
      </c>
      <c r="E209" s="1606">
        <v>500</v>
      </c>
      <c r="F209" s="1433">
        <v>500</v>
      </c>
      <c r="G209" s="1440">
        <v>500</v>
      </c>
      <c r="H209" s="1435">
        <f t="shared" si="7"/>
        <v>1</v>
      </c>
    </row>
    <row r="210" spans="1:10" s="1370" customFormat="1" ht="15" customHeight="1">
      <c r="A210" s="1408"/>
      <c r="B210" s="1429"/>
      <c r="C210" s="1607" t="s">
        <v>789</v>
      </c>
      <c r="D210" s="1605" t="s">
        <v>728</v>
      </c>
      <c r="E210" s="1606">
        <v>750</v>
      </c>
      <c r="F210" s="1433">
        <v>750</v>
      </c>
      <c r="G210" s="1440">
        <v>750</v>
      </c>
      <c r="H210" s="1435">
        <f t="shared" si="7"/>
        <v>1</v>
      </c>
    </row>
    <row r="211" spans="1:10" s="1370" customFormat="1" ht="15" customHeight="1">
      <c r="A211" s="1429"/>
      <c r="B211" s="1429"/>
      <c r="C211" s="1609" t="s">
        <v>790</v>
      </c>
      <c r="D211" s="1610" t="s">
        <v>728</v>
      </c>
      <c r="E211" s="1606">
        <v>250</v>
      </c>
      <c r="F211" s="1433">
        <v>250</v>
      </c>
      <c r="G211" s="1608">
        <v>250</v>
      </c>
      <c r="H211" s="1435">
        <f t="shared" si="7"/>
        <v>1</v>
      </c>
    </row>
    <row r="212" spans="1:10" s="1370" customFormat="1" ht="54" customHeight="1">
      <c r="A212" s="1408"/>
      <c r="B212" s="1429"/>
      <c r="C212" s="1448" t="s">
        <v>791</v>
      </c>
      <c r="D212" s="1534" t="s">
        <v>792</v>
      </c>
      <c r="E212" s="1450">
        <v>0</v>
      </c>
      <c r="F212" s="1451">
        <v>1</v>
      </c>
      <c r="G212" s="1452">
        <v>0</v>
      </c>
      <c r="H212" s="1453">
        <f t="shared" si="7"/>
        <v>0</v>
      </c>
    </row>
    <row r="213" spans="1:10" s="1370" customFormat="1" ht="16.5" customHeight="1">
      <c r="A213" s="1408"/>
      <c r="B213" s="1429"/>
      <c r="C213" s="1607" t="s">
        <v>793</v>
      </c>
      <c r="D213" s="1605" t="s">
        <v>740</v>
      </c>
      <c r="E213" s="1606">
        <v>3000</v>
      </c>
      <c r="F213" s="1433">
        <v>3000</v>
      </c>
      <c r="G213" s="1440">
        <v>2250</v>
      </c>
      <c r="H213" s="1435">
        <f t="shared" si="7"/>
        <v>0.75</v>
      </c>
    </row>
    <row r="214" spans="1:10" s="1370" customFormat="1" ht="18.75" customHeight="1">
      <c r="A214" s="1408"/>
      <c r="B214" s="1429"/>
      <c r="C214" s="1607" t="s">
        <v>794</v>
      </c>
      <c r="D214" s="1605" t="s">
        <v>740</v>
      </c>
      <c r="E214" s="1606">
        <v>1000</v>
      </c>
      <c r="F214" s="1433">
        <v>1000</v>
      </c>
      <c r="G214" s="1440">
        <v>750</v>
      </c>
      <c r="H214" s="1435">
        <f t="shared" si="7"/>
        <v>0.75</v>
      </c>
    </row>
    <row r="215" spans="1:10" s="1370" customFormat="1" ht="18.75" customHeight="1">
      <c r="A215" s="1408"/>
      <c r="B215" s="1429"/>
      <c r="C215" s="1607" t="s">
        <v>795</v>
      </c>
      <c r="D215" s="1611" t="s">
        <v>703</v>
      </c>
      <c r="E215" s="1606">
        <v>2250</v>
      </c>
      <c r="F215" s="1433">
        <v>2250</v>
      </c>
      <c r="G215" s="1440">
        <v>1500</v>
      </c>
      <c r="H215" s="1435">
        <f t="shared" si="7"/>
        <v>0.66666666666666663</v>
      </c>
    </row>
    <row r="216" spans="1:10" s="1370" customFormat="1" ht="18.75" customHeight="1" thickBot="1">
      <c r="A216" s="1516"/>
      <c r="B216" s="1591"/>
      <c r="C216" s="1612" t="s">
        <v>796</v>
      </c>
      <c r="D216" s="1613" t="s">
        <v>703</v>
      </c>
      <c r="E216" s="1464">
        <v>750</v>
      </c>
      <c r="F216" s="1538">
        <v>750</v>
      </c>
      <c r="G216" s="1539">
        <v>500</v>
      </c>
      <c r="H216" s="1540">
        <f t="shared" si="7"/>
        <v>0.66666666666666663</v>
      </c>
    </row>
    <row r="217" spans="1:10" s="1622" customFormat="1" ht="17.100000000000001" customHeight="1" thickBot="1">
      <c r="A217" s="1614" t="s">
        <v>328</v>
      </c>
      <c r="B217" s="1615"/>
      <c r="C217" s="1616"/>
      <c r="D217" s="1617" t="s">
        <v>821</v>
      </c>
      <c r="E217" s="1618">
        <f>SUM(E218)</f>
        <v>16811984</v>
      </c>
      <c r="F217" s="1619">
        <f>SUM(F218)</f>
        <v>12014389</v>
      </c>
      <c r="G217" s="1620">
        <f>SUM(G218)</f>
        <v>4188107</v>
      </c>
      <c r="H217" s="1621">
        <f t="shared" si="7"/>
        <v>0.34859092709583483</v>
      </c>
      <c r="J217" s="1370"/>
    </row>
    <row r="218" spans="1:10" s="1622" customFormat="1" ht="17.100000000000001" customHeight="1" thickBot="1">
      <c r="A218" s="1623"/>
      <c r="B218" s="1624" t="s">
        <v>330</v>
      </c>
      <c r="C218" s="1625"/>
      <c r="D218" s="1626" t="s">
        <v>331</v>
      </c>
      <c r="E218" s="1627">
        <f>SUM(E219,E241)</f>
        <v>16811984</v>
      </c>
      <c r="F218" s="1628">
        <f>SUM(F219,F241)</f>
        <v>12014389</v>
      </c>
      <c r="G218" s="1629">
        <f>SUM(G219,G241)</f>
        <v>4188107</v>
      </c>
      <c r="H218" s="1630">
        <f t="shared" si="7"/>
        <v>0.34859092709583483</v>
      </c>
      <c r="J218" s="1370"/>
    </row>
    <row r="219" spans="1:10" s="1622" customFormat="1" ht="17.100000000000001" customHeight="1">
      <c r="A219" s="1631"/>
      <c r="B219" s="1632"/>
      <c r="C219" s="4426" t="s">
        <v>688</v>
      </c>
      <c r="D219" s="4426"/>
      <c r="E219" s="1633">
        <f>SUM(E220,E226)</f>
        <v>16811984</v>
      </c>
      <c r="F219" s="1634">
        <f>SUM(F220,F226)</f>
        <v>11950949</v>
      </c>
      <c r="G219" s="1635">
        <f>SUM(G220,G226)</f>
        <v>4188107</v>
      </c>
      <c r="H219" s="1636">
        <f t="shared" si="7"/>
        <v>0.3504413749903878</v>
      </c>
      <c r="J219" s="1370"/>
    </row>
    <row r="220" spans="1:10" s="1622" customFormat="1" ht="17.100000000000001" customHeight="1">
      <c r="A220" s="1631"/>
      <c r="B220" s="1637"/>
      <c r="C220" s="4989" t="s">
        <v>797</v>
      </c>
      <c r="D220" s="4990"/>
      <c r="E220" s="1638">
        <f>SUM(E221:E224)</f>
        <v>2985463</v>
      </c>
      <c r="F220" s="1639">
        <f>SUM(F221:F224)</f>
        <v>2782564</v>
      </c>
      <c r="G220" s="1640">
        <f>SUM(G221:G224)</f>
        <v>107641</v>
      </c>
      <c r="H220" s="1641">
        <f t="shared" si="7"/>
        <v>3.8684105738448424E-2</v>
      </c>
      <c r="J220" s="1370"/>
    </row>
    <row r="221" spans="1:10" s="1622" customFormat="1" ht="63.75">
      <c r="A221" s="1631"/>
      <c r="B221" s="1637"/>
      <c r="C221" s="1642" t="s">
        <v>623</v>
      </c>
      <c r="D221" s="1643" t="s">
        <v>822</v>
      </c>
      <c r="E221" s="1644">
        <v>2985463</v>
      </c>
      <c r="F221" s="1639">
        <v>2766624</v>
      </c>
      <c r="G221" s="1645">
        <v>107641</v>
      </c>
      <c r="H221" s="1641">
        <f t="shared" si="7"/>
        <v>3.8906985553512151E-2</v>
      </c>
      <c r="J221" s="1370" t="s">
        <v>823</v>
      </c>
    </row>
    <row r="222" spans="1:10" s="1622" customFormat="1" ht="51" hidden="1" customHeight="1">
      <c r="A222" s="1631"/>
      <c r="B222" s="1637"/>
      <c r="C222" s="1646" t="s">
        <v>448</v>
      </c>
      <c r="D222" s="1643" t="s">
        <v>764</v>
      </c>
      <c r="E222" s="1644">
        <v>0</v>
      </c>
      <c r="F222" s="1639"/>
      <c r="G222" s="1645"/>
      <c r="H222" s="1641" t="e">
        <f t="shared" si="7"/>
        <v>#DIV/0!</v>
      </c>
      <c r="J222" s="1370"/>
    </row>
    <row r="223" spans="1:10" s="1622" customFormat="1" ht="51">
      <c r="A223" s="1631"/>
      <c r="B223" s="1637"/>
      <c r="C223" s="1647" t="s">
        <v>564</v>
      </c>
      <c r="D223" s="1648" t="s">
        <v>765</v>
      </c>
      <c r="E223" s="1649" t="s">
        <v>824</v>
      </c>
      <c r="F223" s="1639">
        <v>4269</v>
      </c>
      <c r="G223" s="1645">
        <v>0</v>
      </c>
      <c r="H223" s="1641">
        <f t="shared" si="7"/>
        <v>0</v>
      </c>
      <c r="J223" s="1370"/>
    </row>
    <row r="224" spans="1:10" s="1622" customFormat="1" ht="17.100000000000001" customHeight="1">
      <c r="A224" s="1631"/>
      <c r="B224" s="1637"/>
      <c r="C224" s="1650" t="s">
        <v>565</v>
      </c>
      <c r="D224" s="1651" t="s">
        <v>825</v>
      </c>
      <c r="E224" s="1652" t="s">
        <v>824</v>
      </c>
      <c r="F224" s="1639">
        <v>11671</v>
      </c>
      <c r="G224" s="1645">
        <v>0</v>
      </c>
      <c r="H224" s="1641">
        <f t="shared" si="7"/>
        <v>0</v>
      </c>
      <c r="J224" s="1370"/>
    </row>
    <row r="225" spans="1:10" s="1622" customFormat="1" ht="17.100000000000001" customHeight="1">
      <c r="A225" s="1653"/>
      <c r="B225" s="1637"/>
      <c r="C225" s="1654"/>
      <c r="D225" s="1655"/>
      <c r="E225" s="1649"/>
      <c r="F225" s="1639"/>
      <c r="G225" s="1645"/>
      <c r="H225" s="1641"/>
      <c r="J225" s="1370"/>
    </row>
    <row r="226" spans="1:10" s="1622" customFormat="1" ht="17.100000000000001" customHeight="1">
      <c r="A226" s="1631"/>
      <c r="B226" s="1637"/>
      <c r="C226" s="4991" t="s">
        <v>761</v>
      </c>
      <c r="D226" s="4991"/>
      <c r="E226" s="1656">
        <f>SUM(E227:E235)</f>
        <v>13826521</v>
      </c>
      <c r="F226" s="1657">
        <f>SUM(F227:F235)</f>
        <v>9168385</v>
      </c>
      <c r="G226" s="1658">
        <f>SUM(G227:G235)</f>
        <v>4080466</v>
      </c>
      <c r="H226" s="1659">
        <f t="shared" ref="H226:H239" si="9">G226/F226</f>
        <v>0.44505831724998457</v>
      </c>
      <c r="J226" s="1370"/>
    </row>
    <row r="227" spans="1:10" s="1622" customFormat="1" ht="63.75" customHeight="1">
      <c r="A227" s="1631"/>
      <c r="B227" s="1637"/>
      <c r="C227" s="1660" t="s">
        <v>459</v>
      </c>
      <c r="D227" s="1661" t="s">
        <v>822</v>
      </c>
      <c r="E227" s="1662">
        <v>13231704</v>
      </c>
      <c r="F227" s="1639">
        <v>8800000</v>
      </c>
      <c r="G227" s="1663">
        <v>4080466</v>
      </c>
      <c r="H227" s="1641">
        <f t="shared" si="9"/>
        <v>0.46368931818181819</v>
      </c>
      <c r="J227" s="1370" t="s">
        <v>826</v>
      </c>
    </row>
    <row r="228" spans="1:10" s="1622" customFormat="1" ht="52.5" hidden="1" customHeight="1">
      <c r="A228" s="1631"/>
      <c r="B228" s="1637"/>
      <c r="C228" s="1664" t="s">
        <v>420</v>
      </c>
      <c r="D228" s="1665" t="s">
        <v>341</v>
      </c>
      <c r="E228" s="1662">
        <v>0</v>
      </c>
      <c r="F228" s="1639"/>
      <c r="G228" s="1663"/>
      <c r="H228" s="1641" t="e">
        <f t="shared" si="9"/>
        <v>#DIV/0!</v>
      </c>
      <c r="J228" s="1370"/>
    </row>
    <row r="229" spans="1:10" s="1622" customFormat="1" ht="16.5" hidden="1" customHeight="1">
      <c r="A229" s="1631"/>
      <c r="B229" s="1637"/>
      <c r="C229" s="1666" t="s">
        <v>610</v>
      </c>
      <c r="D229" s="1665" t="s">
        <v>825</v>
      </c>
      <c r="E229" s="1662">
        <v>0</v>
      </c>
      <c r="F229" s="1639"/>
      <c r="G229" s="1645"/>
      <c r="H229" s="1641" t="e">
        <f t="shared" si="9"/>
        <v>#DIV/0!</v>
      </c>
      <c r="J229" s="1370"/>
    </row>
    <row r="230" spans="1:10" s="1622" customFormat="1" ht="17.100000000000001" hidden="1" customHeight="1">
      <c r="A230" s="1631"/>
      <c r="B230" s="1637"/>
      <c r="C230" s="1667" t="s">
        <v>827</v>
      </c>
      <c r="D230" s="1668" t="s">
        <v>693</v>
      </c>
      <c r="E230" s="1662">
        <v>0</v>
      </c>
      <c r="F230" s="1639"/>
      <c r="G230" s="1663"/>
      <c r="H230" s="1641" t="e">
        <f t="shared" si="9"/>
        <v>#DIV/0!</v>
      </c>
      <c r="J230" s="1370"/>
    </row>
    <row r="231" spans="1:10" s="1622" customFormat="1" ht="17.100000000000001" hidden="1" customHeight="1">
      <c r="A231" s="1631"/>
      <c r="B231" s="1637"/>
      <c r="C231" s="1667" t="s">
        <v>828</v>
      </c>
      <c r="D231" s="1668" t="s">
        <v>695</v>
      </c>
      <c r="E231" s="1662">
        <v>0</v>
      </c>
      <c r="F231" s="1639"/>
      <c r="G231" s="1663"/>
      <c r="H231" s="1641" t="e">
        <f t="shared" si="9"/>
        <v>#DIV/0!</v>
      </c>
      <c r="J231" s="1370"/>
    </row>
    <row r="232" spans="1:10" s="1622" customFormat="1" ht="17.100000000000001" hidden="1" customHeight="1">
      <c r="A232" s="1631"/>
      <c r="B232" s="1637"/>
      <c r="C232" s="1669" t="s">
        <v>829</v>
      </c>
      <c r="D232" s="1668" t="s">
        <v>697</v>
      </c>
      <c r="E232" s="1662">
        <v>0</v>
      </c>
      <c r="F232" s="1639"/>
      <c r="G232" s="1663"/>
      <c r="H232" s="1641" t="e">
        <f t="shared" si="9"/>
        <v>#DIV/0!</v>
      </c>
      <c r="J232" s="1370"/>
    </row>
    <row r="233" spans="1:10" s="1622" customFormat="1" ht="26.25" hidden="1" customHeight="1">
      <c r="A233" s="1631"/>
      <c r="B233" s="1637"/>
      <c r="C233" s="1669" t="s">
        <v>830</v>
      </c>
      <c r="D233" s="1670" t="s">
        <v>831</v>
      </c>
      <c r="E233" s="1662">
        <v>0</v>
      </c>
      <c r="F233" s="1639"/>
      <c r="G233" s="1663"/>
      <c r="H233" s="1641" t="e">
        <f t="shared" si="9"/>
        <v>#DIV/0!</v>
      </c>
      <c r="J233" s="1370"/>
    </row>
    <row r="234" spans="1:10" s="1622" customFormat="1" ht="17.100000000000001" hidden="1" customHeight="1">
      <c r="A234" s="1631"/>
      <c r="B234" s="1637"/>
      <c r="C234" s="1669" t="s">
        <v>832</v>
      </c>
      <c r="D234" s="1670" t="s">
        <v>708</v>
      </c>
      <c r="E234" s="1662">
        <v>0</v>
      </c>
      <c r="F234" s="1639"/>
      <c r="G234" s="1663"/>
      <c r="H234" s="1641" t="e">
        <f t="shared" si="9"/>
        <v>#DIV/0!</v>
      </c>
      <c r="J234" s="1370"/>
    </row>
    <row r="235" spans="1:10" s="1622" customFormat="1" ht="17.25" customHeight="1">
      <c r="A235" s="1631"/>
      <c r="B235" s="1637"/>
      <c r="C235" s="1669" t="s">
        <v>833</v>
      </c>
      <c r="D235" s="1670" t="s">
        <v>718</v>
      </c>
      <c r="E235" s="1662">
        <v>594817</v>
      </c>
      <c r="F235" s="1639">
        <v>368385</v>
      </c>
      <c r="G235" s="1663">
        <v>0</v>
      </c>
      <c r="H235" s="1641">
        <f t="shared" si="9"/>
        <v>0</v>
      </c>
      <c r="J235" s="1370"/>
    </row>
    <row r="236" spans="1:10" s="1622" customFormat="1" ht="17.100000000000001" hidden="1" customHeight="1">
      <c r="A236" s="1631"/>
      <c r="B236" s="1671"/>
      <c r="C236" s="1669" t="s">
        <v>834</v>
      </c>
      <c r="D236" s="1670" t="s">
        <v>722</v>
      </c>
      <c r="E236" s="1662">
        <v>0</v>
      </c>
      <c r="F236" s="1639"/>
      <c r="G236" s="1663"/>
      <c r="H236" s="1641" t="e">
        <f t="shared" si="9"/>
        <v>#DIV/0!</v>
      </c>
      <c r="J236" s="1370"/>
    </row>
    <row r="237" spans="1:10" s="1622" customFormat="1" ht="17.100000000000001" hidden="1" customHeight="1">
      <c r="A237" s="1631"/>
      <c r="B237" s="1671"/>
      <c r="C237" s="1669" t="s">
        <v>835</v>
      </c>
      <c r="D237" s="1670" t="s">
        <v>726</v>
      </c>
      <c r="E237" s="1662">
        <v>0</v>
      </c>
      <c r="F237" s="1639"/>
      <c r="G237" s="1663"/>
      <c r="H237" s="1641" t="e">
        <f t="shared" si="9"/>
        <v>#DIV/0!</v>
      </c>
      <c r="J237" s="1370"/>
    </row>
    <row r="238" spans="1:10" s="1622" customFormat="1" ht="17.100000000000001" hidden="1" customHeight="1">
      <c r="A238" s="1631"/>
      <c r="B238" s="1671"/>
      <c r="C238" s="1669" t="s">
        <v>836</v>
      </c>
      <c r="D238" s="1670" t="s">
        <v>740</v>
      </c>
      <c r="E238" s="1662">
        <v>0</v>
      </c>
      <c r="F238" s="1639"/>
      <c r="G238" s="1663"/>
      <c r="H238" s="1641" t="e">
        <f t="shared" si="9"/>
        <v>#DIV/0!</v>
      </c>
      <c r="J238" s="1370"/>
    </row>
    <row r="239" spans="1:10" s="1622" customFormat="1" ht="17.100000000000001" hidden="1" customHeight="1">
      <c r="A239" s="1631"/>
      <c r="B239" s="1671"/>
      <c r="C239" s="1669" t="s">
        <v>837</v>
      </c>
      <c r="D239" s="1672" t="s">
        <v>703</v>
      </c>
      <c r="E239" s="1662">
        <v>0</v>
      </c>
      <c r="F239" s="1639"/>
      <c r="G239" s="1663"/>
      <c r="H239" s="1641" t="e">
        <f t="shared" si="9"/>
        <v>#DIV/0!</v>
      </c>
      <c r="J239" s="1370"/>
    </row>
    <row r="240" spans="1:10" s="1622" customFormat="1" ht="12" customHeight="1" thickBot="1">
      <c r="A240" s="1673"/>
      <c r="B240" s="1674"/>
      <c r="C240" s="4992"/>
      <c r="D240" s="4993"/>
      <c r="E240" s="1675"/>
      <c r="F240" s="1676"/>
      <c r="G240" s="1677"/>
      <c r="H240" s="1678"/>
      <c r="J240" s="1370"/>
    </row>
    <row r="241" spans="1:10" s="1622" customFormat="1" ht="17.100000000000001" customHeight="1">
      <c r="A241" s="1623"/>
      <c r="B241" s="1679"/>
      <c r="C241" s="4994" t="s">
        <v>744</v>
      </c>
      <c r="D241" s="4994"/>
      <c r="E241" s="1680">
        <f>SUM(E242)</f>
        <v>0</v>
      </c>
      <c r="F241" s="1681">
        <f>SUM(F242)</f>
        <v>63440</v>
      </c>
      <c r="G241" s="1682">
        <f>SUM(G242)</f>
        <v>0</v>
      </c>
      <c r="H241" s="1683">
        <f t="shared" ref="H241:H247" si="10">G241/F241</f>
        <v>0</v>
      </c>
      <c r="J241" s="1370"/>
    </row>
    <row r="242" spans="1:10" s="1622" customFormat="1" ht="17.100000000000001" customHeight="1">
      <c r="A242" s="1631"/>
      <c r="B242" s="1671"/>
      <c r="C242" s="4995" t="s">
        <v>745</v>
      </c>
      <c r="D242" s="4996"/>
      <c r="E242" s="1638">
        <f>SUM(E247)</f>
        <v>0</v>
      </c>
      <c r="F242" s="1684">
        <f>SUM(F247)</f>
        <v>63440</v>
      </c>
      <c r="G242" s="1685">
        <f>SUM(G247)</f>
        <v>0</v>
      </c>
      <c r="H242" s="1686">
        <f t="shared" si="10"/>
        <v>0</v>
      </c>
      <c r="J242" s="1370"/>
    </row>
    <row r="243" spans="1:10" s="1622" customFormat="1" ht="16.5" hidden="1" customHeight="1">
      <c r="A243" s="1631"/>
      <c r="B243" s="1671"/>
      <c r="C243" s="1687" t="s">
        <v>838</v>
      </c>
      <c r="D243" s="1688" t="s">
        <v>801</v>
      </c>
      <c r="E243" s="1638">
        <v>0</v>
      </c>
      <c r="F243" s="1684"/>
      <c r="G243" s="1663"/>
      <c r="H243" s="1686" t="e">
        <f t="shared" si="10"/>
        <v>#DIV/0!</v>
      </c>
      <c r="J243" s="1370"/>
    </row>
    <row r="244" spans="1:10" s="1622" customFormat="1" ht="65.25" hidden="1" customHeight="1">
      <c r="A244" s="1631"/>
      <c r="B244" s="1671"/>
      <c r="C244" s="1689" t="s">
        <v>839</v>
      </c>
      <c r="D244" s="1690" t="s">
        <v>840</v>
      </c>
      <c r="E244" s="1691">
        <v>0</v>
      </c>
      <c r="F244" s="1684"/>
      <c r="G244" s="1663"/>
      <c r="H244" s="1686" t="e">
        <f t="shared" si="10"/>
        <v>#DIV/0!</v>
      </c>
      <c r="J244" s="1370"/>
    </row>
    <row r="245" spans="1:10" s="1622" customFormat="1" ht="63.75" hidden="1" customHeight="1">
      <c r="A245" s="1631"/>
      <c r="B245" s="1671"/>
      <c r="C245" s="1692" t="s">
        <v>841</v>
      </c>
      <c r="D245" s="1693" t="s">
        <v>840</v>
      </c>
      <c r="E245" s="1694">
        <v>0</v>
      </c>
      <c r="F245" s="1684"/>
      <c r="G245" s="1663"/>
      <c r="H245" s="1686" t="e">
        <f t="shared" si="10"/>
        <v>#DIV/0!</v>
      </c>
      <c r="J245" s="1370"/>
    </row>
    <row r="246" spans="1:10" s="1622" customFormat="1" ht="56.25" hidden="1" customHeight="1">
      <c r="A246" s="1631"/>
      <c r="B246" s="1653"/>
      <c r="C246" s="1695" t="s">
        <v>449</v>
      </c>
      <c r="D246" s="1696" t="s">
        <v>842</v>
      </c>
      <c r="E246" s="1694">
        <v>0</v>
      </c>
      <c r="F246" s="1684"/>
      <c r="G246" s="1663"/>
      <c r="H246" s="1686" t="e">
        <f t="shared" si="10"/>
        <v>#DIV/0!</v>
      </c>
      <c r="J246" s="1370"/>
    </row>
    <row r="247" spans="1:10" s="1622" customFormat="1" ht="54.75" customHeight="1" thickBot="1">
      <c r="A247" s="1631"/>
      <c r="B247" s="1653"/>
      <c r="C247" s="1695" t="s">
        <v>566</v>
      </c>
      <c r="D247" s="1696" t="s">
        <v>757</v>
      </c>
      <c r="E247" s="1694">
        <v>0</v>
      </c>
      <c r="F247" s="1684">
        <v>63440</v>
      </c>
      <c r="G247" s="1663">
        <v>0</v>
      </c>
      <c r="H247" s="1686">
        <f t="shared" si="10"/>
        <v>0</v>
      </c>
      <c r="J247" s="1370"/>
    </row>
    <row r="248" spans="1:10" s="1622" customFormat="1" ht="14.25" hidden="1" customHeight="1" thickBot="1">
      <c r="A248" s="1673"/>
      <c r="B248" s="1674"/>
      <c r="C248" s="1697"/>
      <c r="D248" s="1697"/>
      <c r="E248" s="1698"/>
      <c r="F248" s="1676"/>
      <c r="G248" s="1699"/>
      <c r="H248" s="1678"/>
      <c r="J248" s="1370"/>
    </row>
    <row r="249" spans="1:10" ht="17.100000000000001" customHeight="1" thickBot="1">
      <c r="A249" s="1595" t="s">
        <v>843</v>
      </c>
      <c r="B249" s="1596"/>
      <c r="C249" s="1597"/>
      <c r="D249" s="1598" t="s">
        <v>844</v>
      </c>
      <c r="E249" s="1599">
        <f>SUM(E250,E275,E305,E317,E326,E398,E410,E414,E422,E435)</f>
        <v>765213436</v>
      </c>
      <c r="F249" s="1600">
        <f>SUM(F250,F275,F305,F317,F326,F398,F410,F414,F422,F435)</f>
        <v>863672089</v>
      </c>
      <c r="G249" s="1601">
        <f>SUM(G250,G275,G305,G317,G326,G398,G410,G414,G422,G435)</f>
        <v>1142385627</v>
      </c>
      <c r="H249" s="1602">
        <f t="shared" ref="H249:H257" si="11">G249/F249</f>
        <v>1.3227075895467544</v>
      </c>
      <c r="J249" s="1370" t="s">
        <v>845</v>
      </c>
    </row>
    <row r="250" spans="1:10" ht="17.100000000000001" customHeight="1" thickBot="1">
      <c r="A250" s="1700"/>
      <c r="B250" s="1500" t="s">
        <v>846</v>
      </c>
      <c r="C250" s="1501"/>
      <c r="D250" s="1502" t="s">
        <v>345</v>
      </c>
      <c r="E250" s="1503">
        <f>SUM(E251,E264)</f>
        <v>105743205</v>
      </c>
      <c r="F250" s="1504">
        <f>SUM(F251,F264)</f>
        <v>115083520</v>
      </c>
      <c r="G250" s="1505">
        <f>SUM(G251,G264)</f>
        <v>495206020</v>
      </c>
      <c r="H250" s="1506">
        <f t="shared" si="11"/>
        <v>4.3030141935178907</v>
      </c>
    </row>
    <row r="251" spans="1:10" ht="17.100000000000001" customHeight="1">
      <c r="A251" s="1556"/>
      <c r="B251" s="1701"/>
      <c r="C251" s="4882" t="s">
        <v>688</v>
      </c>
      <c r="D251" s="4883"/>
      <c r="E251" s="1702">
        <f>SUM(E252,E259)</f>
        <v>102593205</v>
      </c>
      <c r="F251" s="1418">
        <f>SUM(F252,F259)</f>
        <v>111933520</v>
      </c>
      <c r="G251" s="1703">
        <f>SUM(G252,G259)</f>
        <v>151766020</v>
      </c>
      <c r="H251" s="1509">
        <f t="shared" si="11"/>
        <v>1.3558585488958088</v>
      </c>
    </row>
    <row r="252" spans="1:10" ht="17.100000000000001" customHeight="1">
      <c r="A252" s="1556"/>
      <c r="B252" s="1704"/>
      <c r="C252" s="5004" t="s">
        <v>689</v>
      </c>
      <c r="D252" s="5005"/>
      <c r="E252" s="1606">
        <f>SUM(E253)</f>
        <v>13216073</v>
      </c>
      <c r="F252" s="1705">
        <f>SUM(F253)</f>
        <v>13644254</v>
      </c>
      <c r="G252" s="1706">
        <f>SUM(G253)</f>
        <v>14627814</v>
      </c>
      <c r="H252" s="1707">
        <f t="shared" si="11"/>
        <v>1.0720860224384565</v>
      </c>
    </row>
    <row r="253" spans="1:10" ht="17.100000000000001" customHeight="1">
      <c r="A253" s="1556"/>
      <c r="B253" s="1704"/>
      <c r="C253" s="5006" t="s">
        <v>704</v>
      </c>
      <c r="D253" s="5007"/>
      <c r="E253" s="1708">
        <f>SUM(E254:E257)</f>
        <v>13216073</v>
      </c>
      <c r="F253" s="1578">
        <f>SUM(F254:F257)</f>
        <v>13644254</v>
      </c>
      <c r="G253" s="1709">
        <f>SUM(G254:G257)</f>
        <v>14627814</v>
      </c>
      <c r="H253" s="1710">
        <f t="shared" si="11"/>
        <v>1.0720860224384565</v>
      </c>
    </row>
    <row r="254" spans="1:10" ht="17.100000000000001" customHeight="1">
      <c r="A254" s="1556"/>
      <c r="B254" s="1704"/>
      <c r="C254" s="1711" t="s">
        <v>713</v>
      </c>
      <c r="D254" s="1712" t="s">
        <v>714</v>
      </c>
      <c r="E254" s="1713">
        <v>13206073</v>
      </c>
      <c r="F254" s="1714">
        <v>13634254</v>
      </c>
      <c r="G254" s="1715">
        <v>14617814</v>
      </c>
      <c r="H254" s="1716">
        <f t="shared" si="11"/>
        <v>1.0721388937011149</v>
      </c>
    </row>
    <row r="255" spans="1:10" ht="17.100000000000001" hidden="1" customHeight="1">
      <c r="A255" s="1556"/>
      <c r="B255" s="1704"/>
      <c r="C255" s="1717" t="s">
        <v>721</v>
      </c>
      <c r="D255" s="1718" t="s">
        <v>722</v>
      </c>
      <c r="E255" s="1719">
        <v>0</v>
      </c>
      <c r="F255" s="1720"/>
      <c r="G255" s="1440"/>
      <c r="H255" s="1710" t="e">
        <f t="shared" si="11"/>
        <v>#DIV/0!</v>
      </c>
    </row>
    <row r="256" spans="1:10" ht="17.100000000000001" hidden="1" customHeight="1">
      <c r="A256" s="1556"/>
      <c r="B256" s="1704"/>
      <c r="C256" s="1721" t="s">
        <v>847</v>
      </c>
      <c r="D256" s="1722" t="s">
        <v>848</v>
      </c>
      <c r="E256" s="1723">
        <v>0</v>
      </c>
      <c r="F256" s="1720"/>
      <c r="G256" s="1724"/>
      <c r="H256" s="1710" t="e">
        <f t="shared" si="11"/>
        <v>#DIV/0!</v>
      </c>
    </row>
    <row r="257" spans="1:8" ht="17.100000000000001" customHeight="1">
      <c r="A257" s="1556"/>
      <c r="B257" s="1704"/>
      <c r="C257" s="1725" t="s">
        <v>815</v>
      </c>
      <c r="D257" s="1726" t="s">
        <v>816</v>
      </c>
      <c r="E257" s="1713">
        <v>10000</v>
      </c>
      <c r="F257" s="1714">
        <v>10000</v>
      </c>
      <c r="G257" s="1715">
        <v>10000</v>
      </c>
      <c r="H257" s="1716">
        <f t="shared" si="11"/>
        <v>1</v>
      </c>
    </row>
    <row r="258" spans="1:8" ht="12.75" customHeight="1">
      <c r="A258" s="1556"/>
      <c r="B258" s="1704"/>
      <c r="C258" s="1727"/>
      <c r="D258" s="1728"/>
      <c r="E258" s="1727"/>
      <c r="F258" s="1714"/>
      <c r="G258" s="1715"/>
      <c r="H258" s="1716"/>
    </row>
    <row r="259" spans="1:8" ht="17.100000000000001" customHeight="1">
      <c r="A259" s="1556"/>
      <c r="B259" s="1704"/>
      <c r="C259" s="4983" t="s">
        <v>797</v>
      </c>
      <c r="D259" s="4984"/>
      <c r="E259" s="1729">
        <f>SUM(E260:E261)</f>
        <v>89377132</v>
      </c>
      <c r="F259" s="1451">
        <f>SUM(F260:F261)</f>
        <v>98289266</v>
      </c>
      <c r="G259" s="1730">
        <f>SUM(G260:G261)</f>
        <v>137138206</v>
      </c>
      <c r="H259" s="1716">
        <f>G259/F259</f>
        <v>1.3952510948652317</v>
      </c>
    </row>
    <row r="260" spans="1:8" ht="42.75" customHeight="1">
      <c r="A260" s="1556"/>
      <c r="B260" s="1704"/>
      <c r="C260" s="1731" t="s">
        <v>353</v>
      </c>
      <c r="D260" s="1732" t="s">
        <v>849</v>
      </c>
      <c r="E260" s="1713">
        <v>0</v>
      </c>
      <c r="F260" s="1714">
        <v>90000</v>
      </c>
      <c r="G260" s="1715">
        <v>0</v>
      </c>
      <c r="H260" s="1716">
        <f>G260/F260</f>
        <v>0</v>
      </c>
    </row>
    <row r="261" spans="1:8" ht="40.5" customHeight="1">
      <c r="A261" s="1556"/>
      <c r="B261" s="1704"/>
      <c r="C261" s="1733" t="s">
        <v>850</v>
      </c>
      <c r="D261" s="1718" t="s">
        <v>851</v>
      </c>
      <c r="E261" s="1713">
        <v>89377132</v>
      </c>
      <c r="F261" s="1714">
        <v>98199266</v>
      </c>
      <c r="G261" s="1715">
        <v>137138206</v>
      </c>
      <c r="H261" s="1716">
        <f>G261/F261</f>
        <v>1.39652984778929</v>
      </c>
    </row>
    <row r="262" spans="1:8" ht="40.5" hidden="1" customHeight="1">
      <c r="A262" s="1556"/>
      <c r="B262" s="1704"/>
      <c r="C262" s="1734" t="s">
        <v>355</v>
      </c>
      <c r="D262" s="1735" t="s">
        <v>852</v>
      </c>
      <c r="E262" s="1736">
        <v>0</v>
      </c>
      <c r="F262" s="1737"/>
      <c r="G262" s="1738"/>
      <c r="H262" s="1739" t="e">
        <f>G262/F262</f>
        <v>#DIV/0!</v>
      </c>
    </row>
    <row r="263" spans="1:8" ht="12.75" customHeight="1">
      <c r="A263" s="1556"/>
      <c r="B263" s="1704"/>
      <c r="C263" s="1740"/>
      <c r="D263" s="1741"/>
      <c r="E263" s="1736"/>
      <c r="F263" s="1737"/>
      <c r="G263" s="1738"/>
      <c r="H263" s="1739"/>
    </row>
    <row r="264" spans="1:8" ht="17.100000000000001" customHeight="1">
      <c r="A264" s="1556"/>
      <c r="B264" s="1704"/>
      <c r="C264" s="4985" t="s">
        <v>744</v>
      </c>
      <c r="D264" s="4986"/>
      <c r="E264" s="1742">
        <f>SUM(E265)</f>
        <v>3150000</v>
      </c>
      <c r="F264" s="1743">
        <f>SUM(F265)</f>
        <v>3150000</v>
      </c>
      <c r="G264" s="1744">
        <f>SUM(G265)</f>
        <v>343440000</v>
      </c>
      <c r="H264" s="1745">
        <f t="shared" ref="H264:H267" si="12">G264/F264</f>
        <v>109.02857142857142</v>
      </c>
    </row>
    <row r="265" spans="1:8" ht="17.100000000000001" customHeight="1">
      <c r="A265" s="1556"/>
      <c r="B265" s="1704"/>
      <c r="C265" s="4987" t="s">
        <v>745</v>
      </c>
      <c r="D265" s="4982"/>
      <c r="E265" s="1713">
        <f>SUM(E267)</f>
        <v>3150000</v>
      </c>
      <c r="F265" s="1714">
        <f>SUM(F267:F269)</f>
        <v>3150000</v>
      </c>
      <c r="G265" s="1714">
        <f>SUM(G267:G269)</f>
        <v>343440000</v>
      </c>
      <c r="H265" s="1716">
        <f t="shared" si="12"/>
        <v>109.02857142857142</v>
      </c>
    </row>
    <row r="266" spans="1:8" ht="17.100000000000001" hidden="1" customHeight="1">
      <c r="A266" s="1556"/>
      <c r="B266" s="1704"/>
      <c r="C266" s="1733" t="s">
        <v>755</v>
      </c>
      <c r="D266" s="1746" t="s">
        <v>747</v>
      </c>
      <c r="E266" s="1713">
        <v>0</v>
      </c>
      <c r="F266" s="1714"/>
      <c r="G266" s="1715"/>
      <c r="H266" s="1716" t="e">
        <f t="shared" si="12"/>
        <v>#DIV/0!</v>
      </c>
    </row>
    <row r="267" spans="1:8" ht="17.100000000000001" customHeight="1">
      <c r="A267" s="1556"/>
      <c r="B267" s="1704"/>
      <c r="C267" s="1733" t="s">
        <v>746</v>
      </c>
      <c r="D267" s="1747" t="s">
        <v>801</v>
      </c>
      <c r="E267" s="1713">
        <v>3150000</v>
      </c>
      <c r="F267" s="1714">
        <v>3150000</v>
      </c>
      <c r="G267" s="1715">
        <v>65440000</v>
      </c>
      <c r="H267" s="1716">
        <f t="shared" si="12"/>
        <v>20.774603174603175</v>
      </c>
    </row>
    <row r="268" spans="1:8" ht="17.100000000000001" customHeight="1">
      <c r="A268" s="1556"/>
      <c r="B268" s="1704"/>
      <c r="C268" s="1733" t="s">
        <v>838</v>
      </c>
      <c r="D268" s="1747" t="s">
        <v>801</v>
      </c>
      <c r="E268" s="1713">
        <v>0</v>
      </c>
      <c r="F268" s="1714">
        <v>0</v>
      </c>
      <c r="G268" s="1715">
        <v>236300000</v>
      </c>
      <c r="H268" s="1716"/>
    </row>
    <row r="269" spans="1:8" ht="17.100000000000001" customHeight="1">
      <c r="A269" s="1556"/>
      <c r="B269" s="1704"/>
      <c r="C269" s="1733" t="s">
        <v>853</v>
      </c>
      <c r="D269" s="1747" t="s">
        <v>801</v>
      </c>
      <c r="E269" s="1713">
        <v>0</v>
      </c>
      <c r="F269" s="1714">
        <v>0</v>
      </c>
      <c r="G269" s="1715">
        <v>41700000</v>
      </c>
      <c r="H269" s="1716"/>
    </row>
    <row r="270" spans="1:8" ht="17.100000000000001" customHeight="1">
      <c r="A270" s="1556"/>
      <c r="B270" s="1704"/>
      <c r="C270" s="1454"/>
      <c r="D270" s="1748"/>
      <c r="E270" s="1482"/>
      <c r="F270" s="1714"/>
      <c r="G270" s="1715"/>
      <c r="H270" s="1716"/>
    </row>
    <row r="271" spans="1:8" ht="16.5" customHeight="1">
      <c r="A271" s="1556"/>
      <c r="B271" s="1704"/>
      <c r="C271" s="4988" t="s">
        <v>758</v>
      </c>
      <c r="D271" s="4970"/>
      <c r="E271" s="1713">
        <f>SUM(E272)</f>
        <v>150000</v>
      </c>
      <c r="F271" s="1749">
        <f>SUM(F272:F274)</f>
        <v>150000</v>
      </c>
      <c r="G271" s="1749">
        <f>SUM(G272:G274)</f>
        <v>341940000</v>
      </c>
      <c r="H271" s="1716">
        <f t="shared" ref="H271:H283" si="13">G271/F271</f>
        <v>2279.6</v>
      </c>
    </row>
    <row r="272" spans="1:8" ht="16.5" customHeight="1">
      <c r="A272" s="1750"/>
      <c r="B272" s="1704"/>
      <c r="C272" s="1711" t="s">
        <v>746</v>
      </c>
      <c r="D272" s="1712" t="s">
        <v>801</v>
      </c>
      <c r="E272" s="1713">
        <v>150000</v>
      </c>
      <c r="F272" s="1714">
        <v>150000</v>
      </c>
      <c r="G272" s="1715">
        <v>63940000</v>
      </c>
      <c r="H272" s="1716">
        <f t="shared" si="13"/>
        <v>426.26666666666665</v>
      </c>
    </row>
    <row r="273" spans="1:8" s="1370" customFormat="1" ht="17.100000000000001" customHeight="1">
      <c r="A273" s="1408"/>
      <c r="B273" s="1751"/>
      <c r="C273" s="1733" t="s">
        <v>838</v>
      </c>
      <c r="D273" s="1747" t="s">
        <v>801</v>
      </c>
      <c r="E273" s="1713">
        <v>0</v>
      </c>
      <c r="F273" s="1714">
        <v>0</v>
      </c>
      <c r="G273" s="1715">
        <v>236300000</v>
      </c>
      <c r="H273" s="1716"/>
    </row>
    <row r="274" spans="1:8" s="1370" customFormat="1" ht="17.100000000000001" customHeight="1" thickBot="1">
      <c r="A274" s="1408"/>
      <c r="B274" s="1751"/>
      <c r="C274" s="1752" t="s">
        <v>853</v>
      </c>
      <c r="D274" s="1753" t="s">
        <v>801</v>
      </c>
      <c r="E274" s="1713">
        <v>0</v>
      </c>
      <c r="F274" s="1714">
        <v>0</v>
      </c>
      <c r="G274" s="1715">
        <v>41700000</v>
      </c>
      <c r="H274" s="1754"/>
    </row>
    <row r="275" spans="1:8" ht="17.100000000000001" customHeight="1" thickBot="1">
      <c r="A275" s="1556"/>
      <c r="B275" s="1500" t="s">
        <v>854</v>
      </c>
      <c r="C275" s="1501"/>
      <c r="D275" s="1502" t="s">
        <v>359</v>
      </c>
      <c r="E275" s="1503">
        <f>SUM(E276,E285)</f>
        <v>76572267</v>
      </c>
      <c r="F275" s="1504">
        <f>SUM(F276,F285)</f>
        <v>144693559</v>
      </c>
      <c r="G275" s="1505">
        <f>SUM(G276,G285)</f>
        <v>100555545</v>
      </c>
      <c r="H275" s="1506">
        <f t="shared" si="13"/>
        <v>0.69495522603048276</v>
      </c>
    </row>
    <row r="276" spans="1:8" ht="17.100000000000001" customHeight="1">
      <c r="A276" s="1556"/>
      <c r="B276" s="1755"/>
      <c r="C276" s="4974" t="s">
        <v>688</v>
      </c>
      <c r="D276" s="4974"/>
      <c r="E276" s="1756">
        <f>SUM(E282)</f>
        <v>0</v>
      </c>
      <c r="F276" s="1418">
        <f>SUM(F282)</f>
        <v>143</v>
      </c>
      <c r="G276" s="1703">
        <f>SUM(G282)</f>
        <v>0</v>
      </c>
      <c r="H276" s="1509">
        <f t="shared" si="13"/>
        <v>0</v>
      </c>
    </row>
    <row r="277" spans="1:8" ht="17.100000000000001" hidden="1" customHeight="1">
      <c r="A277" s="1556"/>
      <c r="B277" s="1757"/>
      <c r="C277" s="4975" t="s">
        <v>689</v>
      </c>
      <c r="D277" s="4975"/>
      <c r="E277" s="1713">
        <v>0</v>
      </c>
      <c r="F277" s="1714">
        <v>0</v>
      </c>
      <c r="G277" s="1749">
        <v>0</v>
      </c>
      <c r="H277" s="1716" t="e">
        <f t="shared" si="13"/>
        <v>#DIV/0!</v>
      </c>
    </row>
    <row r="278" spans="1:8" ht="17.100000000000001" hidden="1" customHeight="1">
      <c r="A278" s="1556"/>
      <c r="B278" s="1757"/>
      <c r="C278" s="4976" t="s">
        <v>704</v>
      </c>
      <c r="D278" s="4976"/>
      <c r="E278" s="1713">
        <v>0</v>
      </c>
      <c r="F278" s="1714">
        <v>0</v>
      </c>
      <c r="G278" s="1749">
        <v>0</v>
      </c>
      <c r="H278" s="1716" t="e">
        <f t="shared" si="13"/>
        <v>#DIV/0!</v>
      </c>
    </row>
    <row r="279" spans="1:8" ht="17.100000000000001" hidden="1" customHeight="1">
      <c r="A279" s="1556"/>
      <c r="B279" s="1757"/>
      <c r="C279" s="1758" t="s">
        <v>717</v>
      </c>
      <c r="D279" s="1759" t="s">
        <v>718</v>
      </c>
      <c r="E279" s="1713">
        <v>0</v>
      </c>
      <c r="F279" s="1714">
        <v>0</v>
      </c>
      <c r="G279" s="1749">
        <v>0</v>
      </c>
      <c r="H279" s="1716" t="e">
        <f t="shared" si="13"/>
        <v>#DIV/0!</v>
      </c>
    </row>
    <row r="280" spans="1:8" ht="17.100000000000001" hidden="1" customHeight="1">
      <c r="A280" s="1556"/>
      <c r="B280" s="1757"/>
      <c r="C280" s="1760" t="s">
        <v>721</v>
      </c>
      <c r="D280" s="1761" t="s">
        <v>722</v>
      </c>
      <c r="E280" s="1713">
        <v>0</v>
      </c>
      <c r="F280" s="1714">
        <v>0</v>
      </c>
      <c r="G280" s="1749">
        <v>0</v>
      </c>
      <c r="H280" s="1716" t="e">
        <f t="shared" si="13"/>
        <v>#DIV/0!</v>
      </c>
    </row>
    <row r="281" spans="1:8" ht="17.100000000000001" hidden="1" customHeight="1">
      <c r="A281" s="1556"/>
      <c r="B281" s="1757"/>
      <c r="C281" s="1762"/>
      <c r="D281" s="1763"/>
      <c r="E281" s="1764"/>
      <c r="F281" s="1451"/>
      <c r="G281" s="1730"/>
      <c r="H281" s="1710" t="e">
        <f t="shared" si="13"/>
        <v>#DIV/0!</v>
      </c>
    </row>
    <row r="282" spans="1:8" ht="17.100000000000001" customHeight="1">
      <c r="A282" s="1556"/>
      <c r="B282" s="1757"/>
      <c r="C282" s="4977" t="s">
        <v>761</v>
      </c>
      <c r="D282" s="4978"/>
      <c r="E282" s="1764">
        <f>SUM(E283)</f>
        <v>0</v>
      </c>
      <c r="F282" s="1451">
        <f>SUM(F283)</f>
        <v>143</v>
      </c>
      <c r="G282" s="1730">
        <f>SUM(G283)</f>
        <v>0</v>
      </c>
      <c r="H282" s="1710">
        <f t="shared" si="13"/>
        <v>0</v>
      </c>
    </row>
    <row r="283" spans="1:8" ht="51">
      <c r="A283" s="1556"/>
      <c r="B283" s="1757"/>
      <c r="C283" s="1765" t="s">
        <v>791</v>
      </c>
      <c r="D283" s="1766" t="s">
        <v>792</v>
      </c>
      <c r="E283" s="1729">
        <v>0</v>
      </c>
      <c r="F283" s="1720">
        <v>143</v>
      </c>
      <c r="G283" s="1767">
        <v>0</v>
      </c>
      <c r="H283" s="1710">
        <f t="shared" si="13"/>
        <v>0</v>
      </c>
    </row>
    <row r="284" spans="1:8" ht="17.25" customHeight="1">
      <c r="A284" s="1556"/>
      <c r="B284" s="1768"/>
      <c r="C284" s="1769"/>
      <c r="D284" s="1770"/>
      <c r="E284" s="1771"/>
      <c r="F284" s="1772"/>
      <c r="G284" s="1773"/>
      <c r="H284" s="1774"/>
    </row>
    <row r="285" spans="1:8" ht="17.100000000000001" customHeight="1">
      <c r="A285" s="1556"/>
      <c r="B285" s="1768"/>
      <c r="C285" s="4979" t="s">
        <v>744</v>
      </c>
      <c r="D285" s="4980"/>
      <c r="E285" s="1756">
        <f>SUM(E286)</f>
        <v>76572267</v>
      </c>
      <c r="F285" s="1418">
        <f>SUM(F286)</f>
        <v>144693416</v>
      </c>
      <c r="G285" s="1703">
        <f>SUM(G286)</f>
        <v>100555545</v>
      </c>
      <c r="H285" s="1775">
        <f t="shared" ref="H285:H294" si="14">G285/F285</f>
        <v>0.69495591285231662</v>
      </c>
    </row>
    <row r="286" spans="1:8" ht="17.100000000000001" customHeight="1">
      <c r="A286" s="1556"/>
      <c r="B286" s="1768"/>
      <c r="C286" s="4981" t="s">
        <v>745</v>
      </c>
      <c r="D286" s="4982"/>
      <c r="E286" s="1713">
        <f>SUM(E287:E294)</f>
        <v>76572267</v>
      </c>
      <c r="F286" s="1714">
        <f>SUM(F287:F294)</f>
        <v>144693416</v>
      </c>
      <c r="G286" s="1749">
        <f>SUM(G287:G294)</f>
        <v>100555545</v>
      </c>
      <c r="H286" s="1716">
        <f t="shared" si="14"/>
        <v>0.69495591285231662</v>
      </c>
    </row>
    <row r="287" spans="1:8" ht="17.100000000000001" customHeight="1">
      <c r="A287" s="1556"/>
      <c r="B287" s="1768"/>
      <c r="C287" s="1776" t="s">
        <v>755</v>
      </c>
      <c r="D287" s="1746" t="s">
        <v>747</v>
      </c>
      <c r="E287" s="1713">
        <v>31998997</v>
      </c>
      <c r="F287" s="1714">
        <v>32739604</v>
      </c>
      <c r="G287" s="1715">
        <v>59741840</v>
      </c>
      <c r="H287" s="1716">
        <f t="shared" si="14"/>
        <v>1.824757562736556</v>
      </c>
    </row>
    <row r="288" spans="1:8" ht="17.100000000000001" customHeight="1">
      <c r="A288" s="1556"/>
      <c r="B288" s="1768"/>
      <c r="C288" s="1776" t="s">
        <v>855</v>
      </c>
      <c r="D288" s="1746" t="s">
        <v>747</v>
      </c>
      <c r="E288" s="1713">
        <v>22286635</v>
      </c>
      <c r="F288" s="1714">
        <v>21181210</v>
      </c>
      <c r="G288" s="1715">
        <v>22920771</v>
      </c>
      <c r="H288" s="1716">
        <f t="shared" si="14"/>
        <v>1.0821275555079242</v>
      </c>
    </row>
    <row r="289" spans="1:8" ht="17.100000000000001" customHeight="1">
      <c r="A289" s="1556"/>
      <c r="B289" s="1768"/>
      <c r="C289" s="1776" t="s">
        <v>856</v>
      </c>
      <c r="D289" s="1746" t="s">
        <v>747</v>
      </c>
      <c r="E289" s="1713">
        <v>22286635</v>
      </c>
      <c r="F289" s="1714">
        <v>23581210</v>
      </c>
      <c r="G289" s="1715">
        <v>12892934</v>
      </c>
      <c r="H289" s="1716">
        <f t="shared" si="14"/>
        <v>0.54674607452289348</v>
      </c>
    </row>
    <row r="290" spans="1:8" ht="16.5" customHeight="1">
      <c r="A290" s="1556"/>
      <c r="B290" s="1768"/>
      <c r="C290" s="1777" t="s">
        <v>746</v>
      </c>
      <c r="D290" s="1747" t="s">
        <v>801</v>
      </c>
      <c r="E290" s="1713">
        <v>0</v>
      </c>
      <c r="F290" s="1714">
        <v>1962078</v>
      </c>
      <c r="G290" s="1715">
        <v>5000000</v>
      </c>
      <c r="H290" s="1716">
        <f t="shared" si="14"/>
        <v>2.5483186703077045</v>
      </c>
    </row>
    <row r="291" spans="1:8" ht="16.5" customHeight="1">
      <c r="A291" s="1556"/>
      <c r="B291" s="1768"/>
      <c r="C291" s="1777" t="s">
        <v>838</v>
      </c>
      <c r="D291" s="1747" t="s">
        <v>801</v>
      </c>
      <c r="E291" s="1713">
        <v>0</v>
      </c>
      <c r="F291" s="1714">
        <v>1105425</v>
      </c>
      <c r="G291" s="1715">
        <v>0</v>
      </c>
      <c r="H291" s="1716">
        <f t="shared" si="14"/>
        <v>0</v>
      </c>
    </row>
    <row r="292" spans="1:8" ht="16.5" customHeight="1">
      <c r="A292" s="1556"/>
      <c r="B292" s="1768"/>
      <c r="C292" s="1778" t="s">
        <v>853</v>
      </c>
      <c r="D292" s="1712" t="s">
        <v>801</v>
      </c>
      <c r="E292" s="1713">
        <v>0</v>
      </c>
      <c r="F292" s="1714">
        <v>2210850</v>
      </c>
      <c r="G292" s="1715">
        <v>0</v>
      </c>
      <c r="H292" s="1716">
        <f t="shared" si="14"/>
        <v>0</v>
      </c>
    </row>
    <row r="293" spans="1:8" ht="54" customHeight="1">
      <c r="A293" s="1750"/>
      <c r="B293" s="1768"/>
      <c r="C293" s="1779" t="s">
        <v>839</v>
      </c>
      <c r="D293" s="1780" t="s">
        <v>857</v>
      </c>
      <c r="E293" s="1729">
        <v>0</v>
      </c>
      <c r="F293" s="1451">
        <v>55152913</v>
      </c>
      <c r="G293" s="1452">
        <v>0</v>
      </c>
      <c r="H293" s="1453">
        <f t="shared" si="14"/>
        <v>0</v>
      </c>
    </row>
    <row r="294" spans="1:8" ht="54.75" customHeight="1">
      <c r="A294" s="1556"/>
      <c r="B294" s="1768"/>
      <c r="C294" s="1777" t="s">
        <v>385</v>
      </c>
      <c r="D294" s="1781" t="s">
        <v>842</v>
      </c>
      <c r="E294" s="1713">
        <v>0</v>
      </c>
      <c r="F294" s="1714">
        <v>6760126</v>
      </c>
      <c r="G294" s="1715">
        <v>0</v>
      </c>
      <c r="H294" s="1716">
        <f t="shared" si="14"/>
        <v>0</v>
      </c>
    </row>
    <row r="295" spans="1:8" ht="15">
      <c r="A295" s="1556"/>
      <c r="B295" s="1768"/>
      <c r="C295" s="1470"/>
      <c r="D295" s="1748"/>
      <c r="E295" s="1713"/>
      <c r="F295" s="1714"/>
      <c r="G295" s="1715"/>
      <c r="H295" s="1716"/>
    </row>
    <row r="296" spans="1:8" ht="15">
      <c r="A296" s="1556"/>
      <c r="B296" s="1768"/>
      <c r="C296" s="4969" t="s">
        <v>758</v>
      </c>
      <c r="D296" s="4970"/>
      <c r="E296" s="1782">
        <f>SUM(E297:E304)</f>
        <v>76572267</v>
      </c>
      <c r="F296" s="1783">
        <f>SUM(F297:F304)</f>
        <v>144693416</v>
      </c>
      <c r="G296" s="1784">
        <f>SUM(G297:G304)</f>
        <v>100555545</v>
      </c>
      <c r="H296" s="1785">
        <f t="shared" ref="H296:H321" si="15">G296/F296</f>
        <v>0.69495591285231662</v>
      </c>
    </row>
    <row r="297" spans="1:8" ht="17.100000000000001" customHeight="1">
      <c r="A297" s="1556"/>
      <c r="B297" s="1768"/>
      <c r="C297" s="1786" t="s">
        <v>755</v>
      </c>
      <c r="D297" s="1732" t="s">
        <v>747</v>
      </c>
      <c r="E297" s="1713">
        <v>31998997</v>
      </c>
      <c r="F297" s="1714">
        <v>32739604</v>
      </c>
      <c r="G297" s="1715">
        <v>59741840</v>
      </c>
      <c r="H297" s="1716">
        <f t="shared" si="15"/>
        <v>1.824757562736556</v>
      </c>
    </row>
    <row r="298" spans="1:8" ht="17.100000000000001" customHeight="1">
      <c r="A298" s="1556"/>
      <c r="B298" s="1768"/>
      <c r="C298" s="1786" t="s">
        <v>855</v>
      </c>
      <c r="D298" s="1732" t="s">
        <v>747</v>
      </c>
      <c r="E298" s="1713">
        <v>22286635</v>
      </c>
      <c r="F298" s="1714">
        <v>21181210</v>
      </c>
      <c r="G298" s="1715">
        <v>22920771</v>
      </c>
      <c r="H298" s="1716">
        <f t="shared" si="15"/>
        <v>1.0821275555079242</v>
      </c>
    </row>
    <row r="299" spans="1:8" ht="17.100000000000001" customHeight="1">
      <c r="A299" s="1556"/>
      <c r="B299" s="1768"/>
      <c r="C299" s="1787" t="s">
        <v>856</v>
      </c>
      <c r="D299" s="1788" t="s">
        <v>747</v>
      </c>
      <c r="E299" s="1713">
        <v>22286635</v>
      </c>
      <c r="F299" s="1714">
        <v>23581210</v>
      </c>
      <c r="G299" s="1715">
        <v>12892934</v>
      </c>
      <c r="H299" s="1716">
        <f t="shared" si="15"/>
        <v>0.54674607452289348</v>
      </c>
    </row>
    <row r="300" spans="1:8" ht="17.100000000000001" customHeight="1">
      <c r="A300" s="1556"/>
      <c r="B300" s="1768"/>
      <c r="C300" s="1789" t="s">
        <v>746</v>
      </c>
      <c r="D300" s="1790" t="s">
        <v>801</v>
      </c>
      <c r="E300" s="1713">
        <v>0</v>
      </c>
      <c r="F300" s="1714">
        <v>1962078</v>
      </c>
      <c r="G300" s="1715">
        <v>5000000</v>
      </c>
      <c r="H300" s="1716">
        <f t="shared" si="15"/>
        <v>2.5483186703077045</v>
      </c>
    </row>
    <row r="301" spans="1:8" ht="16.5" customHeight="1">
      <c r="A301" s="1556"/>
      <c r="B301" s="1768"/>
      <c r="C301" s="1791" t="s">
        <v>838</v>
      </c>
      <c r="D301" s="1761" t="s">
        <v>801</v>
      </c>
      <c r="E301" s="1713">
        <v>0</v>
      </c>
      <c r="F301" s="1714">
        <v>1105425</v>
      </c>
      <c r="G301" s="1715">
        <v>0</v>
      </c>
      <c r="H301" s="1716">
        <f t="shared" si="15"/>
        <v>0</v>
      </c>
    </row>
    <row r="302" spans="1:8" ht="15.75" customHeight="1">
      <c r="A302" s="1556"/>
      <c r="B302" s="1768"/>
      <c r="C302" s="1792" t="s">
        <v>853</v>
      </c>
      <c r="D302" s="1793" t="s">
        <v>801</v>
      </c>
      <c r="E302" s="1713">
        <v>0</v>
      </c>
      <c r="F302" s="1714">
        <v>2210850</v>
      </c>
      <c r="G302" s="1715">
        <v>0</v>
      </c>
      <c r="H302" s="1716">
        <f t="shared" si="15"/>
        <v>0</v>
      </c>
    </row>
    <row r="303" spans="1:8" ht="55.5" customHeight="1">
      <c r="A303" s="1750"/>
      <c r="B303" s="1768"/>
      <c r="C303" s="1794" t="s">
        <v>839</v>
      </c>
      <c r="D303" s="1795" t="s">
        <v>857</v>
      </c>
      <c r="E303" s="1729">
        <v>0</v>
      </c>
      <c r="F303" s="1451">
        <v>55152913</v>
      </c>
      <c r="G303" s="1796">
        <v>0</v>
      </c>
      <c r="H303" s="1453">
        <f t="shared" si="15"/>
        <v>0</v>
      </c>
    </row>
    <row r="304" spans="1:8" ht="55.5" customHeight="1" thickBot="1">
      <c r="A304" s="1797"/>
      <c r="B304" s="1798"/>
      <c r="C304" s="1799" t="s">
        <v>385</v>
      </c>
      <c r="D304" s="1800" t="s">
        <v>842</v>
      </c>
      <c r="E304" s="1801">
        <v>0</v>
      </c>
      <c r="F304" s="1538">
        <v>6760126</v>
      </c>
      <c r="G304" s="1802">
        <v>0</v>
      </c>
      <c r="H304" s="1540">
        <f t="shared" si="15"/>
        <v>0</v>
      </c>
    </row>
    <row r="305" spans="1:8" ht="17.100000000000001" customHeight="1" thickBot="1">
      <c r="A305" s="1700"/>
      <c r="B305" s="1500" t="s">
        <v>858</v>
      </c>
      <c r="C305" s="1501"/>
      <c r="D305" s="1502" t="s">
        <v>365</v>
      </c>
      <c r="E305" s="1803">
        <f>SUM(E306)</f>
        <v>51873000</v>
      </c>
      <c r="F305" s="1804">
        <f>SUM(F306)</f>
        <v>51873000</v>
      </c>
      <c r="G305" s="1805">
        <f>SUM(G306)</f>
        <v>51604000</v>
      </c>
      <c r="H305" s="1506">
        <f t="shared" si="15"/>
        <v>0.99481425789909972</v>
      </c>
    </row>
    <row r="306" spans="1:8" ht="17.100000000000001" customHeight="1">
      <c r="A306" s="1556"/>
      <c r="B306" s="1806"/>
      <c r="C306" s="4517" t="s">
        <v>688</v>
      </c>
      <c r="D306" s="4944"/>
      <c r="E306" s="1807">
        <f>SUM(E311)</f>
        <v>51873000</v>
      </c>
      <c r="F306" s="1418">
        <f>SUM(F311)</f>
        <v>51873000</v>
      </c>
      <c r="G306" s="1808">
        <f>SUM(G311)</f>
        <v>51604000</v>
      </c>
      <c r="H306" s="1509">
        <f t="shared" si="15"/>
        <v>0.99481425789909972</v>
      </c>
    </row>
    <row r="307" spans="1:8" ht="17.100000000000001" hidden="1" customHeight="1">
      <c r="A307" s="1556"/>
      <c r="B307" s="1548"/>
      <c r="C307" s="4971" t="s">
        <v>689</v>
      </c>
      <c r="D307" s="4971"/>
      <c r="E307" s="1807">
        <v>0</v>
      </c>
      <c r="F307" s="1418">
        <v>0</v>
      </c>
      <c r="G307" s="1809">
        <v>0</v>
      </c>
      <c r="H307" s="1810" t="e">
        <f t="shared" si="15"/>
        <v>#DIV/0!</v>
      </c>
    </row>
    <row r="308" spans="1:8" ht="17.100000000000001" hidden="1" customHeight="1">
      <c r="A308" s="1556"/>
      <c r="B308" s="1548"/>
      <c r="C308" s="4972" t="s">
        <v>704</v>
      </c>
      <c r="D308" s="4972"/>
      <c r="E308" s="1713">
        <v>0</v>
      </c>
      <c r="F308" s="1714">
        <v>0</v>
      </c>
      <c r="G308" s="1749">
        <v>0</v>
      </c>
      <c r="H308" s="1716" t="e">
        <f t="shared" si="15"/>
        <v>#DIV/0!</v>
      </c>
    </row>
    <row r="309" spans="1:8" ht="54.75" hidden="1" customHeight="1">
      <c r="A309" s="1556"/>
      <c r="B309" s="1548"/>
      <c r="C309" s="1811" t="s">
        <v>811</v>
      </c>
      <c r="D309" s="1812" t="s">
        <v>812</v>
      </c>
      <c r="E309" s="1713">
        <v>0</v>
      </c>
      <c r="F309" s="1714">
        <v>0</v>
      </c>
      <c r="G309" s="1749">
        <v>0</v>
      </c>
      <c r="H309" s="1716" t="e">
        <f t="shared" si="15"/>
        <v>#DIV/0!</v>
      </c>
    </row>
    <row r="310" spans="1:8" ht="17.100000000000001" hidden="1" customHeight="1">
      <c r="A310" s="1556"/>
      <c r="B310" s="1548"/>
      <c r="C310" s="1813"/>
      <c r="D310" s="1814"/>
      <c r="E310" s="1815"/>
      <c r="F310" s="1816"/>
      <c r="G310" s="1817"/>
      <c r="H310" s="1716" t="e">
        <f t="shared" si="15"/>
        <v>#DIV/0!</v>
      </c>
    </row>
    <row r="311" spans="1:8" ht="17.100000000000001" customHeight="1">
      <c r="A311" s="1556"/>
      <c r="B311" s="1548"/>
      <c r="C311" s="4973" t="s">
        <v>797</v>
      </c>
      <c r="D311" s="4973"/>
      <c r="E311" s="1818">
        <f>SUM(E312:E315)</f>
        <v>51873000</v>
      </c>
      <c r="F311" s="1819">
        <f>SUM(F312:F315)</f>
        <v>51873000</v>
      </c>
      <c r="G311" s="1820">
        <f>SUM(G312:G315)</f>
        <v>51604000</v>
      </c>
      <c r="H311" s="1716">
        <f t="shared" si="15"/>
        <v>0.99481425789909972</v>
      </c>
    </row>
    <row r="312" spans="1:8" ht="45.75" customHeight="1">
      <c r="A312" s="1556"/>
      <c r="B312" s="1548"/>
      <c r="C312" s="1821" t="s">
        <v>798</v>
      </c>
      <c r="D312" s="1822" t="s">
        <v>799</v>
      </c>
      <c r="E312" s="1713">
        <v>1600000</v>
      </c>
      <c r="F312" s="1714">
        <v>1600000</v>
      </c>
      <c r="G312" s="1715">
        <v>1300000</v>
      </c>
      <c r="H312" s="1716">
        <f t="shared" si="15"/>
        <v>0.8125</v>
      </c>
    </row>
    <row r="313" spans="1:8" ht="45.75" customHeight="1">
      <c r="A313" s="1750"/>
      <c r="B313" s="1548"/>
      <c r="C313" s="1821" t="s">
        <v>645</v>
      </c>
      <c r="D313" s="1822" t="s">
        <v>800</v>
      </c>
      <c r="E313" s="1713">
        <v>4050000</v>
      </c>
      <c r="F313" s="1714">
        <v>4050000</v>
      </c>
      <c r="G313" s="1715">
        <v>3000000</v>
      </c>
      <c r="H313" s="1716">
        <f t="shared" si="15"/>
        <v>0.7407407407407407</v>
      </c>
    </row>
    <row r="314" spans="1:8" ht="29.25" customHeight="1">
      <c r="A314" s="1556"/>
      <c r="B314" s="1548"/>
      <c r="C314" s="1779" t="s">
        <v>859</v>
      </c>
      <c r="D314" s="1823" t="s">
        <v>860</v>
      </c>
      <c r="E314" s="1729">
        <v>43873000</v>
      </c>
      <c r="F314" s="1451">
        <v>43873000</v>
      </c>
      <c r="G314" s="1715">
        <v>43604000</v>
      </c>
      <c r="H314" s="1716">
        <f t="shared" si="15"/>
        <v>0.99386866637795457</v>
      </c>
    </row>
    <row r="315" spans="1:8" ht="30" customHeight="1" thickBot="1">
      <c r="A315" s="1750"/>
      <c r="B315" s="1582"/>
      <c r="C315" s="1824" t="s">
        <v>861</v>
      </c>
      <c r="D315" s="1825" t="s">
        <v>862</v>
      </c>
      <c r="E315" s="1801">
        <v>2350000</v>
      </c>
      <c r="F315" s="1538">
        <v>2350000</v>
      </c>
      <c r="G315" s="1802">
        <v>3700000</v>
      </c>
      <c r="H315" s="1540">
        <f t="shared" si="15"/>
        <v>1.574468085106383</v>
      </c>
    </row>
    <row r="316" spans="1:8" ht="57.75" hidden="1" customHeight="1">
      <c r="A316" s="1556"/>
      <c r="B316" s="1564"/>
      <c r="C316" s="1826" t="s">
        <v>309</v>
      </c>
      <c r="D316" s="1827" t="s">
        <v>341</v>
      </c>
      <c r="E316" s="1828">
        <v>0</v>
      </c>
      <c r="F316" s="1829"/>
      <c r="H316" s="1831" t="e">
        <f t="shared" si="15"/>
        <v>#DIV/0!</v>
      </c>
    </row>
    <row r="317" spans="1:8" ht="17.100000000000001" customHeight="1" thickBot="1">
      <c r="A317" s="1750"/>
      <c r="B317" s="1500" t="s">
        <v>863</v>
      </c>
      <c r="C317" s="1501"/>
      <c r="D317" s="1502" t="s">
        <v>371</v>
      </c>
      <c r="E317" s="1503">
        <f>SUM(E318)</f>
        <v>304040</v>
      </c>
      <c r="F317" s="1504">
        <f>SUM(F318)</f>
        <v>304040</v>
      </c>
      <c r="G317" s="1505">
        <f>SUM(G318)</f>
        <v>260000</v>
      </c>
      <c r="H317" s="1506">
        <f t="shared" si="15"/>
        <v>0.85515063807393765</v>
      </c>
    </row>
    <row r="318" spans="1:8" ht="17.100000000000001" customHeight="1">
      <c r="A318" s="1556"/>
      <c r="B318" s="4357"/>
      <c r="C318" s="4944" t="s">
        <v>688</v>
      </c>
      <c r="D318" s="4944"/>
      <c r="E318" s="1807">
        <f>SUM(E319,E323)</f>
        <v>304040</v>
      </c>
      <c r="F318" s="1418">
        <f>SUM(F319,F323)</f>
        <v>304040</v>
      </c>
      <c r="G318" s="1809">
        <f>SUM(G319,G323)</f>
        <v>260000</v>
      </c>
      <c r="H318" s="1509">
        <f t="shared" si="15"/>
        <v>0.85515063807393765</v>
      </c>
    </row>
    <row r="319" spans="1:8" ht="17.100000000000001" customHeight="1">
      <c r="A319" s="1556"/>
      <c r="B319" s="4357"/>
      <c r="C319" s="4971" t="s">
        <v>689</v>
      </c>
      <c r="D319" s="4971"/>
      <c r="E319" s="1713">
        <f t="shared" ref="E319:G320" si="16">SUM(E320)</f>
        <v>254040</v>
      </c>
      <c r="F319" s="1714">
        <f t="shared" si="16"/>
        <v>254040</v>
      </c>
      <c r="G319" s="1749">
        <f t="shared" si="16"/>
        <v>260000</v>
      </c>
      <c r="H319" s="1716">
        <f t="shared" si="15"/>
        <v>1.0234608723035743</v>
      </c>
    </row>
    <row r="320" spans="1:8" ht="17.100000000000001" customHeight="1">
      <c r="A320" s="1556"/>
      <c r="B320" s="4357"/>
      <c r="C320" s="4972" t="s">
        <v>704</v>
      </c>
      <c r="D320" s="4972"/>
      <c r="E320" s="1782">
        <f t="shared" si="16"/>
        <v>254040</v>
      </c>
      <c r="F320" s="1783">
        <f t="shared" si="16"/>
        <v>254040</v>
      </c>
      <c r="G320" s="1784">
        <f t="shared" si="16"/>
        <v>260000</v>
      </c>
      <c r="H320" s="1716">
        <f t="shared" si="15"/>
        <v>1.0234608723035743</v>
      </c>
    </row>
    <row r="321" spans="1:10" ht="17.100000000000001" customHeight="1">
      <c r="A321" s="1556"/>
      <c r="B321" s="4357"/>
      <c r="C321" s="1711" t="s">
        <v>721</v>
      </c>
      <c r="D321" s="1832" t="s">
        <v>722</v>
      </c>
      <c r="E321" s="1713">
        <v>254040</v>
      </c>
      <c r="F321" s="1714">
        <v>254040</v>
      </c>
      <c r="G321" s="1715">
        <v>260000</v>
      </c>
      <c r="H321" s="1716">
        <f t="shared" si="15"/>
        <v>1.0234608723035743</v>
      </c>
    </row>
    <row r="322" spans="1:10" ht="17.100000000000001" customHeight="1">
      <c r="A322" s="1556"/>
      <c r="B322" s="1469"/>
      <c r="C322" s="1833"/>
      <c r="D322" s="1834"/>
      <c r="E322" s="1835"/>
      <c r="F322" s="1451"/>
      <c r="G322" s="1452"/>
      <c r="H322" s="1716"/>
    </row>
    <row r="323" spans="1:10" ht="17.100000000000001" customHeight="1">
      <c r="A323" s="1556"/>
      <c r="B323" s="1469"/>
      <c r="C323" s="4960" t="s">
        <v>797</v>
      </c>
      <c r="D323" s="4960"/>
      <c r="E323" s="1836">
        <f>SUM(E324)</f>
        <v>50000</v>
      </c>
      <c r="F323" s="1451">
        <f>SUM(F324)</f>
        <v>50000</v>
      </c>
      <c r="G323" s="1837">
        <f>SUM(G324)</f>
        <v>0</v>
      </c>
      <c r="H323" s="1716">
        <f t="shared" ref="H323:H335" si="17">G323/F323</f>
        <v>0</v>
      </c>
    </row>
    <row r="324" spans="1:10" ht="45" customHeight="1" thickBot="1">
      <c r="A324" s="1556"/>
      <c r="B324" s="1469"/>
      <c r="C324" s="1786" t="s">
        <v>353</v>
      </c>
      <c r="D324" s="1838" t="s">
        <v>849</v>
      </c>
      <c r="E324" s="1782">
        <v>50000</v>
      </c>
      <c r="F324" s="1714">
        <v>50000</v>
      </c>
      <c r="G324" s="1715">
        <v>0</v>
      </c>
      <c r="H324" s="1716">
        <f t="shared" si="17"/>
        <v>0</v>
      </c>
    </row>
    <row r="325" spans="1:10" ht="13.5" hidden="1" customHeight="1" thickBot="1">
      <c r="A325" s="1556"/>
      <c r="B325" s="1564"/>
      <c r="C325" s="4961"/>
      <c r="D325" s="4961"/>
      <c r="E325" s="1839"/>
      <c r="F325" s="1737"/>
      <c r="G325" s="1738"/>
      <c r="H325" s="1840" t="e">
        <f t="shared" si="17"/>
        <v>#DIV/0!</v>
      </c>
    </row>
    <row r="326" spans="1:10" s="1622" customFormat="1" ht="17.100000000000001" customHeight="1" thickBot="1">
      <c r="A326" s="1631"/>
      <c r="B326" s="1624" t="s">
        <v>864</v>
      </c>
      <c r="C326" s="1625"/>
      <c r="D326" s="1626" t="s">
        <v>375</v>
      </c>
      <c r="E326" s="1627">
        <f>SUM(E327,E368)</f>
        <v>448636450</v>
      </c>
      <c r="F326" s="1628">
        <f>SUM(F327,F368)</f>
        <v>449171874</v>
      </c>
      <c r="G326" s="1629">
        <f>SUM(G327,G368)</f>
        <v>491866531</v>
      </c>
      <c r="H326" s="1630">
        <f t="shared" si="17"/>
        <v>1.0950519377355314</v>
      </c>
      <c r="J326" s="1370"/>
    </row>
    <row r="327" spans="1:10" s="1622" customFormat="1" ht="17.100000000000001" customHeight="1">
      <c r="A327" s="1631"/>
      <c r="B327" s="1653"/>
      <c r="C327" s="4962" t="s">
        <v>688</v>
      </c>
      <c r="D327" s="4962"/>
      <c r="E327" s="1841">
        <f>SUM(E328)</f>
        <v>54887140</v>
      </c>
      <c r="F327" s="1634">
        <f>SUM(F328)</f>
        <v>82060742</v>
      </c>
      <c r="G327" s="1842">
        <f>SUM(G328)</f>
        <v>65045371</v>
      </c>
      <c r="H327" s="1636">
        <f t="shared" si="17"/>
        <v>0.7926490720739523</v>
      </c>
      <c r="J327" s="1370"/>
    </row>
    <row r="328" spans="1:10" s="1622" customFormat="1" ht="17.100000000000001" customHeight="1">
      <c r="A328" s="1631"/>
      <c r="B328" s="1653"/>
      <c r="C328" s="4963" t="s">
        <v>689</v>
      </c>
      <c r="D328" s="4964"/>
      <c r="E328" s="1843">
        <f>SUM(E329,E337)</f>
        <v>54887140</v>
      </c>
      <c r="F328" s="1844">
        <f>SUM(F329,F337)</f>
        <v>82060742</v>
      </c>
      <c r="G328" s="1845">
        <f>SUM(G329,G337)</f>
        <v>65045371</v>
      </c>
      <c r="H328" s="1846">
        <f t="shared" si="17"/>
        <v>0.7926490720739523</v>
      </c>
      <c r="J328" s="1370"/>
    </row>
    <row r="329" spans="1:10" s="1622" customFormat="1" ht="17.100000000000001" customHeight="1">
      <c r="A329" s="1631"/>
      <c r="B329" s="1653"/>
      <c r="C329" s="4965" t="s">
        <v>690</v>
      </c>
      <c r="D329" s="4966"/>
      <c r="E329" s="1847">
        <f>SUM(E334)</f>
        <v>0</v>
      </c>
      <c r="F329" s="1848">
        <f>SUM(F334)</f>
        <v>53000</v>
      </c>
      <c r="G329" s="1849">
        <f>SUM(G334)</f>
        <v>0</v>
      </c>
      <c r="H329" s="1850">
        <f t="shared" si="17"/>
        <v>0</v>
      </c>
      <c r="J329" s="1370"/>
    </row>
    <row r="330" spans="1:10" s="1622" customFormat="1" ht="17.100000000000001" hidden="1" customHeight="1">
      <c r="A330" s="1631"/>
      <c r="B330" s="1653"/>
      <c r="C330" s="1851" t="s">
        <v>692</v>
      </c>
      <c r="D330" s="1852" t="s">
        <v>693</v>
      </c>
      <c r="E330" s="1843">
        <v>0</v>
      </c>
      <c r="F330" s="1844"/>
      <c r="G330" s="1853"/>
      <c r="H330" s="1846" t="e">
        <f t="shared" si="17"/>
        <v>#DIV/0!</v>
      </c>
      <c r="J330" s="1370"/>
    </row>
    <row r="331" spans="1:10" s="1622" customFormat="1" ht="17.100000000000001" hidden="1" customHeight="1">
      <c r="A331" s="1631"/>
      <c r="B331" s="1653"/>
      <c r="C331" s="1851" t="s">
        <v>694</v>
      </c>
      <c r="D331" s="1852" t="s">
        <v>695</v>
      </c>
      <c r="E331" s="1843">
        <v>0</v>
      </c>
      <c r="F331" s="1844"/>
      <c r="G331" s="1853"/>
      <c r="H331" s="1846" t="e">
        <f t="shared" si="17"/>
        <v>#DIV/0!</v>
      </c>
      <c r="J331" s="1370"/>
    </row>
    <row r="332" spans="1:10" s="1622" customFormat="1" ht="17.100000000000001" hidden="1" customHeight="1">
      <c r="A332" s="1631"/>
      <c r="B332" s="1653"/>
      <c r="C332" s="1851" t="s">
        <v>696</v>
      </c>
      <c r="D332" s="1852" t="s">
        <v>697</v>
      </c>
      <c r="E332" s="1843">
        <v>0</v>
      </c>
      <c r="F332" s="1844"/>
      <c r="G332" s="1853"/>
      <c r="H332" s="1846" t="e">
        <f t="shared" si="17"/>
        <v>#DIV/0!</v>
      </c>
      <c r="J332" s="1370"/>
    </row>
    <row r="333" spans="1:10" s="1622" customFormat="1" ht="27.75" hidden="1" customHeight="1">
      <c r="A333" s="1631"/>
      <c r="B333" s="1653"/>
      <c r="C333" s="1851" t="s">
        <v>698</v>
      </c>
      <c r="D333" s="1852" t="s">
        <v>831</v>
      </c>
      <c r="E333" s="1843">
        <v>0</v>
      </c>
      <c r="F333" s="1844"/>
      <c r="G333" s="1853"/>
      <c r="H333" s="1846" t="e">
        <f t="shared" si="17"/>
        <v>#DIV/0!</v>
      </c>
      <c r="J333" s="1370"/>
    </row>
    <row r="334" spans="1:10" s="1622" customFormat="1" ht="17.100000000000001" customHeight="1">
      <c r="A334" s="1653"/>
      <c r="B334" s="1653"/>
      <c r="C334" s="1854" t="s">
        <v>700</v>
      </c>
      <c r="D334" s="1855" t="s">
        <v>701</v>
      </c>
      <c r="E334" s="1843">
        <v>0</v>
      </c>
      <c r="F334" s="1844">
        <v>53000</v>
      </c>
      <c r="G334" s="1853">
        <v>0</v>
      </c>
      <c r="H334" s="1846">
        <f t="shared" si="17"/>
        <v>0</v>
      </c>
      <c r="J334" s="1370"/>
    </row>
    <row r="335" spans="1:10" s="1622" customFormat="1" ht="17.100000000000001" hidden="1" customHeight="1">
      <c r="A335" s="1631"/>
      <c r="B335" s="1653"/>
      <c r="C335" s="1856" t="s">
        <v>702</v>
      </c>
      <c r="D335" s="1857" t="s">
        <v>703</v>
      </c>
      <c r="E335" s="1858">
        <v>0</v>
      </c>
      <c r="F335" s="1859"/>
      <c r="G335" s="1860"/>
      <c r="H335" s="1659" t="e">
        <f t="shared" si="17"/>
        <v>#DIV/0!</v>
      </c>
      <c r="J335" s="1370"/>
    </row>
    <row r="336" spans="1:10" s="1622" customFormat="1" ht="17.100000000000001" customHeight="1">
      <c r="A336" s="1631"/>
      <c r="B336" s="1653"/>
      <c r="C336" s="4967"/>
      <c r="D336" s="4968"/>
      <c r="E336" s="1861"/>
      <c r="F336" s="1844"/>
      <c r="G336" s="1853"/>
      <c r="H336" s="1846"/>
      <c r="J336" s="1370"/>
    </row>
    <row r="337" spans="1:10" s="1622" customFormat="1" ht="17.100000000000001" customHeight="1">
      <c r="A337" s="1631"/>
      <c r="B337" s="1653"/>
      <c r="C337" s="4952" t="s">
        <v>704</v>
      </c>
      <c r="D337" s="4952"/>
      <c r="E337" s="1862">
        <f>SUM(E339:E359)</f>
        <v>54887140</v>
      </c>
      <c r="F337" s="1863">
        <f>SUM(F339:F359)</f>
        <v>82007742</v>
      </c>
      <c r="G337" s="1863">
        <f>SUM(G339:G359)</f>
        <v>65045371</v>
      </c>
      <c r="H337" s="1850">
        <f t="shared" ref="H337:H363" si="18">G337/F337</f>
        <v>0.79316134566904672</v>
      </c>
      <c r="J337" s="1370"/>
    </row>
    <row r="338" spans="1:10" s="1622" customFormat="1" ht="17.100000000000001" hidden="1" customHeight="1">
      <c r="A338" s="1631"/>
      <c r="B338" s="1653"/>
      <c r="C338" s="1864" t="s">
        <v>705</v>
      </c>
      <c r="D338" s="1852" t="s">
        <v>706</v>
      </c>
      <c r="E338" s="1843">
        <v>0</v>
      </c>
      <c r="F338" s="1844"/>
      <c r="G338" s="1853"/>
      <c r="H338" s="1846" t="e">
        <f t="shared" si="18"/>
        <v>#DIV/0!</v>
      </c>
      <c r="J338" s="1370"/>
    </row>
    <row r="339" spans="1:10" s="1622" customFormat="1" ht="17.100000000000001" customHeight="1">
      <c r="A339" s="1631"/>
      <c r="B339" s="1653"/>
      <c r="C339" s="1864" t="s">
        <v>707</v>
      </c>
      <c r="D339" s="1852" t="s">
        <v>708</v>
      </c>
      <c r="E339" s="1843">
        <v>7460000</v>
      </c>
      <c r="F339" s="1844">
        <v>11989000</v>
      </c>
      <c r="G339" s="1853">
        <v>9422500</v>
      </c>
      <c r="H339" s="1846">
        <f t="shared" si="18"/>
        <v>0.78592876803736755</v>
      </c>
      <c r="J339" s="1370"/>
    </row>
    <row r="340" spans="1:10" s="1622" customFormat="1" ht="17.100000000000001" hidden="1" customHeight="1">
      <c r="A340" s="1631"/>
      <c r="B340" s="1653"/>
      <c r="C340" s="1864" t="s">
        <v>709</v>
      </c>
      <c r="D340" s="1852" t="s">
        <v>710</v>
      </c>
      <c r="E340" s="1843">
        <v>0</v>
      </c>
      <c r="F340" s="1844"/>
      <c r="G340" s="1853"/>
      <c r="H340" s="1846" t="e">
        <f t="shared" si="18"/>
        <v>#DIV/0!</v>
      </c>
      <c r="J340" s="1370"/>
    </row>
    <row r="341" spans="1:10" s="1622" customFormat="1" ht="17.100000000000001" customHeight="1">
      <c r="A341" s="1631"/>
      <c r="B341" s="1653"/>
      <c r="C341" s="1864" t="s">
        <v>711</v>
      </c>
      <c r="D341" s="1852" t="s">
        <v>712</v>
      </c>
      <c r="E341" s="1843">
        <v>220000</v>
      </c>
      <c r="F341" s="1844">
        <v>406000</v>
      </c>
      <c r="G341" s="1853">
        <v>763000</v>
      </c>
      <c r="H341" s="1846">
        <f t="shared" si="18"/>
        <v>1.8793103448275863</v>
      </c>
      <c r="J341" s="1370"/>
    </row>
    <row r="342" spans="1:10" s="1622" customFormat="1" ht="17.100000000000001" customHeight="1">
      <c r="A342" s="1631"/>
      <c r="B342" s="1653"/>
      <c r="C342" s="1864" t="s">
        <v>713</v>
      </c>
      <c r="D342" s="1852" t="s">
        <v>714</v>
      </c>
      <c r="E342" s="1843">
        <v>27515900</v>
      </c>
      <c r="F342" s="1844">
        <v>46591035</v>
      </c>
      <c r="G342" s="1853">
        <v>30733650</v>
      </c>
      <c r="H342" s="1846">
        <f t="shared" si="18"/>
        <v>0.6596472905141515</v>
      </c>
      <c r="J342" s="1370"/>
    </row>
    <row r="343" spans="1:10" s="1622" customFormat="1" ht="17.100000000000001" hidden="1" customHeight="1">
      <c r="A343" s="1631"/>
      <c r="B343" s="1653"/>
      <c r="C343" s="1864" t="s">
        <v>715</v>
      </c>
      <c r="D343" s="1852" t="s">
        <v>716</v>
      </c>
      <c r="E343" s="1843">
        <v>0</v>
      </c>
      <c r="F343" s="1844"/>
      <c r="G343" s="1853"/>
      <c r="H343" s="1846" t="e">
        <f t="shared" si="18"/>
        <v>#DIV/0!</v>
      </c>
      <c r="J343" s="1370"/>
    </row>
    <row r="344" spans="1:10" s="1622" customFormat="1" ht="17.100000000000001" customHeight="1">
      <c r="A344" s="1631"/>
      <c r="B344" s="1653"/>
      <c r="C344" s="1864" t="s">
        <v>717</v>
      </c>
      <c r="D344" s="1852" t="s">
        <v>718</v>
      </c>
      <c r="E344" s="1843">
        <v>17015000</v>
      </c>
      <c r="F344" s="1844">
        <v>19905500</v>
      </c>
      <c r="G344" s="1853">
        <v>21237510</v>
      </c>
      <c r="H344" s="1846">
        <f t="shared" si="18"/>
        <v>1.0669166813192335</v>
      </c>
      <c r="J344" s="1370"/>
    </row>
    <row r="345" spans="1:10" s="1622" customFormat="1" ht="16.5" hidden="1" customHeight="1">
      <c r="A345" s="1631"/>
      <c r="B345" s="1653"/>
      <c r="C345" s="1864" t="s">
        <v>719</v>
      </c>
      <c r="D345" s="1852" t="s">
        <v>720</v>
      </c>
      <c r="E345" s="1843">
        <v>0</v>
      </c>
      <c r="F345" s="1844"/>
      <c r="G345" s="1853"/>
      <c r="H345" s="1846" t="e">
        <f t="shared" si="18"/>
        <v>#DIV/0!</v>
      </c>
      <c r="J345" s="1370"/>
    </row>
    <row r="346" spans="1:10" s="1622" customFormat="1" ht="17.100000000000001" customHeight="1">
      <c r="A346" s="1631"/>
      <c r="B346" s="1653"/>
      <c r="C346" s="1864" t="s">
        <v>721</v>
      </c>
      <c r="D346" s="1852" t="s">
        <v>722</v>
      </c>
      <c r="E346" s="1843">
        <v>1455000</v>
      </c>
      <c r="F346" s="1844">
        <v>1460000</v>
      </c>
      <c r="G346" s="1853">
        <v>1339411</v>
      </c>
      <c r="H346" s="1846">
        <f t="shared" si="18"/>
        <v>0.91740479452054791</v>
      </c>
      <c r="J346" s="1370"/>
    </row>
    <row r="347" spans="1:10" s="1622" customFormat="1" ht="29.25" customHeight="1">
      <c r="A347" s="1631"/>
      <c r="B347" s="1653"/>
      <c r="C347" s="1864" t="s">
        <v>723</v>
      </c>
      <c r="D347" s="1852" t="s">
        <v>724</v>
      </c>
      <c r="E347" s="1843">
        <v>23000</v>
      </c>
      <c r="F347" s="1844">
        <v>23000</v>
      </c>
      <c r="G347" s="1853">
        <v>25000</v>
      </c>
      <c r="H347" s="1846">
        <f t="shared" si="18"/>
        <v>1.0869565217391304</v>
      </c>
      <c r="J347" s="1370"/>
    </row>
    <row r="348" spans="1:10" s="1622" customFormat="1" ht="17.100000000000001" hidden="1" customHeight="1">
      <c r="A348" s="1631"/>
      <c r="B348" s="1653"/>
      <c r="C348" s="1864" t="s">
        <v>725</v>
      </c>
      <c r="D348" s="1852" t="s">
        <v>726</v>
      </c>
      <c r="E348" s="1843">
        <v>0</v>
      </c>
      <c r="F348" s="1844"/>
      <c r="G348" s="1853"/>
      <c r="H348" s="1846" t="e">
        <f t="shared" si="18"/>
        <v>#DIV/0!</v>
      </c>
      <c r="J348" s="1370"/>
    </row>
    <row r="349" spans="1:10" s="1622" customFormat="1" ht="17.100000000000001" hidden="1" customHeight="1">
      <c r="A349" s="1631"/>
      <c r="B349" s="1653"/>
      <c r="C349" s="1864" t="s">
        <v>865</v>
      </c>
      <c r="D349" s="1852" t="s">
        <v>866</v>
      </c>
      <c r="E349" s="1843">
        <v>0</v>
      </c>
      <c r="F349" s="1844"/>
      <c r="G349" s="1853"/>
      <c r="H349" s="1846" t="e">
        <f t="shared" si="18"/>
        <v>#DIV/0!</v>
      </c>
      <c r="J349" s="1370"/>
    </row>
    <row r="350" spans="1:10" s="1622" customFormat="1" ht="17.100000000000001" customHeight="1">
      <c r="A350" s="1631"/>
      <c r="B350" s="1653"/>
      <c r="C350" s="1864" t="s">
        <v>727</v>
      </c>
      <c r="D350" s="1852" t="s">
        <v>728</v>
      </c>
      <c r="E350" s="1843">
        <v>1094000</v>
      </c>
      <c r="F350" s="1844">
        <v>1004000</v>
      </c>
      <c r="G350" s="1853">
        <v>1090000</v>
      </c>
      <c r="H350" s="1846">
        <f t="shared" si="18"/>
        <v>1.0856573705179282</v>
      </c>
      <c r="J350" s="1370"/>
    </row>
    <row r="351" spans="1:10" s="1622" customFormat="1" ht="17.100000000000001" hidden="1" customHeight="1">
      <c r="A351" s="1631"/>
      <c r="B351" s="1653"/>
      <c r="C351" s="1864" t="s">
        <v>729</v>
      </c>
      <c r="D351" s="1852" t="s">
        <v>730</v>
      </c>
      <c r="E351" s="1843">
        <v>0</v>
      </c>
      <c r="F351" s="1844"/>
      <c r="G351" s="1853"/>
      <c r="H351" s="1846" t="e">
        <f t="shared" si="18"/>
        <v>#DIV/0!</v>
      </c>
      <c r="J351" s="1370"/>
    </row>
    <row r="352" spans="1:10" s="1622" customFormat="1" ht="17.100000000000001" customHeight="1">
      <c r="A352" s="1631"/>
      <c r="B352" s="1653"/>
      <c r="C352" s="1864" t="s">
        <v>731</v>
      </c>
      <c r="D352" s="1852" t="s">
        <v>732</v>
      </c>
      <c r="E352" s="1843">
        <v>2000</v>
      </c>
      <c r="F352" s="1844">
        <v>127000</v>
      </c>
      <c r="G352" s="1853">
        <v>167000</v>
      </c>
      <c r="H352" s="1846">
        <f t="shared" si="18"/>
        <v>1.3149606299212599</v>
      </c>
      <c r="J352" s="1370"/>
    </row>
    <row r="353" spans="1:10" s="1622" customFormat="1" ht="28.5" customHeight="1">
      <c r="A353" s="1631"/>
      <c r="B353" s="1653"/>
      <c r="C353" s="1864" t="s">
        <v>753</v>
      </c>
      <c r="D353" s="1852" t="s">
        <v>754</v>
      </c>
      <c r="E353" s="1843">
        <v>2000</v>
      </c>
      <c r="F353" s="1844">
        <v>6140</v>
      </c>
      <c r="G353" s="1853">
        <v>9000</v>
      </c>
      <c r="H353" s="1846">
        <f t="shared" si="18"/>
        <v>1.4657980456026058</v>
      </c>
      <c r="J353" s="1370"/>
    </row>
    <row r="354" spans="1:10" s="1622" customFormat="1" ht="17.100000000000001" customHeight="1">
      <c r="A354" s="1631"/>
      <c r="B354" s="1653"/>
      <c r="C354" s="1864" t="s">
        <v>733</v>
      </c>
      <c r="D354" s="1852" t="s">
        <v>734</v>
      </c>
      <c r="E354" s="1843">
        <v>0</v>
      </c>
      <c r="F354" s="1844">
        <v>300</v>
      </c>
      <c r="G354" s="1853">
        <v>300</v>
      </c>
      <c r="H354" s="1846">
        <f t="shared" si="18"/>
        <v>1</v>
      </c>
      <c r="J354" s="1370"/>
    </row>
    <row r="355" spans="1:10" s="1622" customFormat="1" ht="17.100000000000001" customHeight="1">
      <c r="A355" s="1631"/>
      <c r="B355" s="1653"/>
      <c r="C355" s="1864" t="s">
        <v>735</v>
      </c>
      <c r="D355" s="1852" t="s">
        <v>736</v>
      </c>
      <c r="E355" s="1843">
        <v>70000</v>
      </c>
      <c r="F355" s="1844">
        <v>166550</v>
      </c>
      <c r="G355" s="1853">
        <v>193000</v>
      </c>
      <c r="H355" s="1846">
        <f t="shared" si="18"/>
        <v>1.1588111678174722</v>
      </c>
      <c r="J355" s="1370"/>
    </row>
    <row r="356" spans="1:10" s="1622" customFormat="1" ht="17.100000000000001" customHeight="1">
      <c r="A356" s="1631"/>
      <c r="B356" s="1653"/>
      <c r="C356" s="1864" t="s">
        <v>847</v>
      </c>
      <c r="D356" s="1852" t="s">
        <v>848</v>
      </c>
      <c r="E356" s="1843">
        <v>0</v>
      </c>
      <c r="F356" s="1844">
        <v>127797</v>
      </c>
      <c r="G356" s="1853">
        <v>0</v>
      </c>
      <c r="H356" s="1846">
        <f t="shared" si="18"/>
        <v>0</v>
      </c>
      <c r="J356" s="1370"/>
    </row>
    <row r="357" spans="1:10" s="1622" customFormat="1" ht="17.100000000000001" customHeight="1">
      <c r="A357" s="1631"/>
      <c r="B357" s="1653"/>
      <c r="C357" s="1864" t="s">
        <v>813</v>
      </c>
      <c r="D357" s="1852" t="s">
        <v>814</v>
      </c>
      <c r="E357" s="1843">
        <v>10000</v>
      </c>
      <c r="F357" s="1844">
        <v>42000</v>
      </c>
      <c r="G357" s="1853">
        <v>35000</v>
      </c>
      <c r="H357" s="1846">
        <f t="shared" si="18"/>
        <v>0.83333333333333337</v>
      </c>
      <c r="J357" s="1370"/>
    </row>
    <row r="358" spans="1:10" s="1622" customFormat="1" ht="24.75" hidden="1" customHeight="1">
      <c r="A358" s="1631"/>
      <c r="B358" s="1653"/>
      <c r="C358" s="1864" t="s">
        <v>867</v>
      </c>
      <c r="D358" s="1852" t="s">
        <v>868</v>
      </c>
      <c r="E358" s="1843">
        <v>0</v>
      </c>
      <c r="F358" s="1844"/>
      <c r="G358" s="1853"/>
      <c r="H358" s="1846" t="e">
        <f t="shared" si="18"/>
        <v>#DIV/0!</v>
      </c>
      <c r="J358" s="1370"/>
    </row>
    <row r="359" spans="1:10" s="1622" customFormat="1" ht="17.100000000000001" customHeight="1">
      <c r="A359" s="1631"/>
      <c r="B359" s="1653"/>
      <c r="C359" s="1864" t="s">
        <v>815</v>
      </c>
      <c r="D359" s="1852" t="s">
        <v>816</v>
      </c>
      <c r="E359" s="1843">
        <v>20240</v>
      </c>
      <c r="F359" s="1844">
        <v>159420</v>
      </c>
      <c r="G359" s="1853">
        <v>30000</v>
      </c>
      <c r="H359" s="1846">
        <f t="shared" si="18"/>
        <v>0.18818216033120061</v>
      </c>
      <c r="J359" s="1370"/>
    </row>
    <row r="360" spans="1:10" s="1622" customFormat="1" ht="19.5" hidden="1" customHeight="1">
      <c r="A360" s="1631"/>
      <c r="B360" s="1653"/>
      <c r="C360" s="1864" t="s">
        <v>739</v>
      </c>
      <c r="D360" s="1852" t="s">
        <v>740</v>
      </c>
      <c r="E360" s="1843">
        <v>0</v>
      </c>
      <c r="F360" s="1844"/>
      <c r="G360" s="1853"/>
      <c r="H360" s="1846" t="e">
        <f t="shared" si="18"/>
        <v>#DIV/0!</v>
      </c>
      <c r="J360" s="1370"/>
    </row>
    <row r="361" spans="1:10" s="1622" customFormat="1" ht="17.100000000000001" hidden="1" customHeight="1">
      <c r="A361" s="1631"/>
      <c r="B361" s="1653"/>
      <c r="C361" s="1865"/>
      <c r="D361" s="1865"/>
      <c r="E361" s="1866"/>
      <c r="F361" s="1844"/>
      <c r="G361" s="1853"/>
      <c r="H361" s="1846" t="e">
        <f t="shared" si="18"/>
        <v>#DIV/0!</v>
      </c>
      <c r="J361" s="1370"/>
    </row>
    <row r="362" spans="1:10" s="1622" customFormat="1" ht="17.100000000000001" hidden="1" customHeight="1">
      <c r="A362" s="1631"/>
      <c r="B362" s="1653"/>
      <c r="C362" s="4953" t="s">
        <v>741</v>
      </c>
      <c r="D362" s="4953"/>
      <c r="E362" s="1843">
        <v>0</v>
      </c>
      <c r="F362" s="1844"/>
      <c r="G362" s="1853"/>
      <c r="H362" s="1846" t="e">
        <f t="shared" si="18"/>
        <v>#DIV/0!</v>
      </c>
      <c r="J362" s="1370"/>
    </row>
    <row r="363" spans="1:10" s="1622" customFormat="1" ht="17.100000000000001" hidden="1" customHeight="1">
      <c r="A363" s="1631"/>
      <c r="B363" s="1653"/>
      <c r="C363" s="1867" t="s">
        <v>742</v>
      </c>
      <c r="D363" s="1868" t="s">
        <v>743</v>
      </c>
      <c r="E363" s="1869">
        <v>0</v>
      </c>
      <c r="F363" s="1844"/>
      <c r="G363" s="1853"/>
      <c r="H363" s="1846" t="e">
        <f t="shared" si="18"/>
        <v>#DIV/0!</v>
      </c>
      <c r="J363" s="1370"/>
    </row>
    <row r="364" spans="1:10" s="1622" customFormat="1" ht="17.100000000000001" customHeight="1">
      <c r="A364" s="1631"/>
      <c r="B364" s="1653"/>
      <c r="C364" s="1870"/>
      <c r="D364" s="1871"/>
      <c r="E364" s="1870"/>
      <c r="F364" s="1844"/>
      <c r="G364" s="1853"/>
      <c r="H364" s="1846"/>
      <c r="J364" s="1370"/>
    </row>
    <row r="365" spans="1:10" s="1622" customFormat="1" ht="17.100000000000001" hidden="1" customHeight="1">
      <c r="A365" s="1631"/>
      <c r="B365" s="1653"/>
      <c r="C365" s="4954" t="s">
        <v>761</v>
      </c>
      <c r="D365" s="4955"/>
      <c r="E365" s="1872">
        <v>0</v>
      </c>
      <c r="F365" s="1844"/>
      <c r="G365" s="1853"/>
      <c r="H365" s="1846" t="e">
        <f t="shared" ref="H365:H384" si="19">G365/F365</f>
        <v>#DIV/0!</v>
      </c>
      <c r="J365" s="1370"/>
    </row>
    <row r="366" spans="1:10" s="1622" customFormat="1" ht="57.75" hidden="1" customHeight="1">
      <c r="A366" s="1631"/>
      <c r="B366" s="1653"/>
      <c r="C366" s="1873" t="s">
        <v>791</v>
      </c>
      <c r="D366" s="1874" t="s">
        <v>792</v>
      </c>
      <c r="E366" s="1872">
        <v>0</v>
      </c>
      <c r="F366" s="1844"/>
      <c r="G366" s="1853"/>
      <c r="H366" s="1846" t="e">
        <f t="shared" si="19"/>
        <v>#DIV/0!</v>
      </c>
      <c r="J366" s="1370"/>
    </row>
    <row r="367" spans="1:10" s="1622" customFormat="1" ht="17.100000000000001" hidden="1" customHeight="1">
      <c r="A367" s="1631"/>
      <c r="B367" s="1653"/>
      <c r="C367" s="1870"/>
      <c r="D367" s="1875"/>
      <c r="E367" s="1861"/>
      <c r="F367" s="1844"/>
      <c r="G367" s="1853"/>
      <c r="H367" s="1846" t="e">
        <f t="shared" si="19"/>
        <v>#DIV/0!</v>
      </c>
      <c r="J367" s="1370"/>
    </row>
    <row r="368" spans="1:10" s="1622" customFormat="1" ht="17.100000000000001" customHeight="1">
      <c r="A368" s="1631"/>
      <c r="B368" s="1653"/>
      <c r="C368" s="4956" t="s">
        <v>744</v>
      </c>
      <c r="D368" s="4956"/>
      <c r="E368" s="1841">
        <f>SUM(E369)</f>
        <v>393749310</v>
      </c>
      <c r="F368" s="1634">
        <f>SUM(F369)</f>
        <v>367111132</v>
      </c>
      <c r="G368" s="1842">
        <f>SUM(G369)</f>
        <v>426821160</v>
      </c>
      <c r="H368" s="1876">
        <f t="shared" si="19"/>
        <v>1.1626483721011216</v>
      </c>
      <c r="J368" s="1370"/>
    </row>
    <row r="369" spans="1:10" s="1622" customFormat="1" ht="17.100000000000001" customHeight="1">
      <c r="A369" s="1631"/>
      <c r="B369" s="1653"/>
      <c r="C369" s="4957" t="s">
        <v>869</v>
      </c>
      <c r="D369" s="4957"/>
      <c r="E369" s="1843">
        <f>SUM(E370:E382)</f>
        <v>393749310</v>
      </c>
      <c r="F369" s="1844">
        <f>SUM(F370:F382)</f>
        <v>367111132</v>
      </c>
      <c r="G369" s="1845">
        <f>SUM(G370:G382)</f>
        <v>426821160</v>
      </c>
      <c r="H369" s="1846">
        <f t="shared" si="19"/>
        <v>1.1626483721011216</v>
      </c>
      <c r="J369" s="1370"/>
    </row>
    <row r="370" spans="1:10" s="1622" customFormat="1" ht="17.100000000000001" customHeight="1">
      <c r="A370" s="1631"/>
      <c r="B370" s="1653"/>
      <c r="C370" s="1877" t="s">
        <v>755</v>
      </c>
      <c r="D370" s="1878" t="s">
        <v>747</v>
      </c>
      <c r="E370" s="1843">
        <v>146266358</v>
      </c>
      <c r="F370" s="1844">
        <v>123755366</v>
      </c>
      <c r="G370" s="1853">
        <v>285851163</v>
      </c>
      <c r="H370" s="1846">
        <f t="shared" si="19"/>
        <v>2.3098082308608743</v>
      </c>
      <c r="J370" s="1370"/>
    </row>
    <row r="371" spans="1:10" s="1622" customFormat="1" ht="17.100000000000001" customHeight="1">
      <c r="A371" s="1653"/>
      <c r="B371" s="1653"/>
      <c r="C371" s="1856" t="s">
        <v>855</v>
      </c>
      <c r="D371" s="1857" t="s">
        <v>747</v>
      </c>
      <c r="E371" s="1858">
        <v>171200556</v>
      </c>
      <c r="F371" s="1859">
        <v>153875276</v>
      </c>
      <c r="G371" s="1860">
        <v>84997854</v>
      </c>
      <c r="H371" s="1659">
        <f t="shared" si="19"/>
        <v>0.5523814884985162</v>
      </c>
      <c r="J371" s="1370"/>
    </row>
    <row r="372" spans="1:10" s="1622" customFormat="1" ht="17.100000000000001" customHeight="1">
      <c r="A372" s="1631"/>
      <c r="B372" s="1653"/>
      <c r="C372" s="1879" t="s">
        <v>870</v>
      </c>
      <c r="D372" s="1880" t="s">
        <v>747</v>
      </c>
      <c r="E372" s="1843">
        <v>0</v>
      </c>
      <c r="F372" s="1844">
        <v>881654</v>
      </c>
      <c r="G372" s="1853">
        <v>0</v>
      </c>
      <c r="H372" s="1846">
        <f t="shared" si="19"/>
        <v>0</v>
      </c>
      <c r="J372" s="1370"/>
    </row>
    <row r="373" spans="1:10" s="1622" customFormat="1" ht="17.100000000000001" customHeight="1">
      <c r="A373" s="1631"/>
      <c r="B373" s="1653"/>
      <c r="C373" s="1879" t="s">
        <v>856</v>
      </c>
      <c r="D373" s="1880" t="s">
        <v>747</v>
      </c>
      <c r="E373" s="1843">
        <v>59987396</v>
      </c>
      <c r="F373" s="1844">
        <v>27244914</v>
      </c>
      <c r="G373" s="1853">
        <v>14999623</v>
      </c>
      <c r="H373" s="1846">
        <f t="shared" si="19"/>
        <v>0.55054763615697222</v>
      </c>
      <c r="J373" s="1370"/>
    </row>
    <row r="374" spans="1:10" s="1622" customFormat="1" ht="17.100000000000001" customHeight="1">
      <c r="A374" s="1631"/>
      <c r="B374" s="1653"/>
      <c r="C374" s="1879" t="s">
        <v>746</v>
      </c>
      <c r="D374" s="1880" t="s">
        <v>801</v>
      </c>
      <c r="E374" s="1843">
        <v>7045000</v>
      </c>
      <c r="F374" s="1844">
        <v>38817175</v>
      </c>
      <c r="G374" s="1853">
        <v>21380000</v>
      </c>
      <c r="H374" s="1846">
        <f t="shared" si="19"/>
        <v>0.55078711936146818</v>
      </c>
      <c r="J374" s="1370"/>
    </row>
    <row r="375" spans="1:10" s="1622" customFormat="1" ht="17.100000000000001" customHeight="1">
      <c r="A375" s="1631"/>
      <c r="B375" s="1653"/>
      <c r="C375" s="1879" t="s">
        <v>838</v>
      </c>
      <c r="D375" s="1880" t="s">
        <v>801</v>
      </c>
      <c r="E375" s="1843">
        <v>7650000</v>
      </c>
      <c r="F375" s="1844">
        <v>7317316</v>
      </c>
      <c r="G375" s="1853">
        <v>0</v>
      </c>
      <c r="H375" s="1846">
        <f t="shared" si="19"/>
        <v>0</v>
      </c>
      <c r="J375" s="1370"/>
    </row>
    <row r="376" spans="1:10" s="1622" customFormat="1" ht="17.100000000000001" hidden="1" customHeight="1">
      <c r="A376" s="1631"/>
      <c r="B376" s="1653"/>
      <c r="C376" s="1879" t="s">
        <v>871</v>
      </c>
      <c r="D376" s="1880" t="s">
        <v>801</v>
      </c>
      <c r="E376" s="1843">
        <v>0</v>
      </c>
      <c r="F376" s="1844"/>
      <c r="G376" s="1853"/>
      <c r="H376" s="1846" t="e">
        <f t="shared" si="19"/>
        <v>#DIV/0!</v>
      </c>
      <c r="J376" s="1370"/>
    </row>
    <row r="377" spans="1:10" s="1622" customFormat="1" ht="17.100000000000001" customHeight="1">
      <c r="A377" s="1631"/>
      <c r="B377" s="1653"/>
      <c r="C377" s="1879" t="s">
        <v>853</v>
      </c>
      <c r="D377" s="1881" t="s">
        <v>801</v>
      </c>
      <c r="E377" s="1843">
        <v>1350000</v>
      </c>
      <c r="F377" s="1844">
        <v>1291292</v>
      </c>
      <c r="G377" s="1853">
        <v>0</v>
      </c>
      <c r="H377" s="1846">
        <f t="shared" si="19"/>
        <v>0</v>
      </c>
      <c r="J377" s="1370"/>
    </row>
    <row r="378" spans="1:10" s="1622" customFormat="1" ht="30" customHeight="1">
      <c r="A378" s="1631"/>
      <c r="B378" s="1653"/>
      <c r="C378" s="1882" t="s">
        <v>872</v>
      </c>
      <c r="D378" s="1883" t="s">
        <v>873</v>
      </c>
      <c r="E378" s="1843"/>
      <c r="F378" s="1844">
        <v>0</v>
      </c>
      <c r="G378" s="1853">
        <v>615000</v>
      </c>
      <c r="H378" s="1846"/>
      <c r="J378" s="1370"/>
    </row>
    <row r="379" spans="1:10" s="1622" customFormat="1" ht="51">
      <c r="A379" s="1653"/>
      <c r="B379" s="1653"/>
      <c r="C379" s="1884" t="s">
        <v>381</v>
      </c>
      <c r="D379" s="1885" t="s">
        <v>857</v>
      </c>
      <c r="E379" s="1843">
        <v>0</v>
      </c>
      <c r="F379" s="1844">
        <v>12374464</v>
      </c>
      <c r="G379" s="1853">
        <v>0</v>
      </c>
      <c r="H379" s="1846">
        <f t="shared" si="19"/>
        <v>0</v>
      </c>
      <c r="J379" s="1370"/>
    </row>
    <row r="380" spans="1:10" s="1622" customFormat="1" ht="31.5" customHeight="1">
      <c r="A380" s="1631"/>
      <c r="B380" s="1653"/>
      <c r="C380" s="1886" t="s">
        <v>874</v>
      </c>
      <c r="D380" s="1887" t="s">
        <v>1348</v>
      </c>
      <c r="E380" s="1858"/>
      <c r="F380" s="1859">
        <v>0</v>
      </c>
      <c r="G380" s="1860">
        <v>16000000</v>
      </c>
      <c r="H380" s="1659"/>
      <c r="J380" s="1370"/>
    </row>
    <row r="381" spans="1:10" s="1622" customFormat="1" ht="39.75" customHeight="1">
      <c r="A381" s="1631"/>
      <c r="B381" s="1653"/>
      <c r="C381" s="1886" t="s">
        <v>802</v>
      </c>
      <c r="D381" s="1887" t="s">
        <v>876</v>
      </c>
      <c r="E381" s="1858">
        <v>250000</v>
      </c>
      <c r="F381" s="1859">
        <v>928675</v>
      </c>
      <c r="G381" s="1860">
        <v>2977520</v>
      </c>
      <c r="H381" s="1659">
        <f t="shared" si="19"/>
        <v>3.206202385118583</v>
      </c>
      <c r="J381" s="1370"/>
    </row>
    <row r="382" spans="1:10" s="1622" customFormat="1" ht="42" customHeight="1">
      <c r="A382" s="1631"/>
      <c r="B382" s="1653"/>
      <c r="C382" s="1886" t="s">
        <v>804</v>
      </c>
      <c r="D382" s="1888" t="s">
        <v>805</v>
      </c>
      <c r="E382" s="1843">
        <v>0</v>
      </c>
      <c r="F382" s="1844">
        <v>625000</v>
      </c>
      <c r="G382" s="1853">
        <v>0</v>
      </c>
      <c r="H382" s="1846">
        <f t="shared" si="19"/>
        <v>0</v>
      </c>
      <c r="J382" s="1370"/>
    </row>
    <row r="383" spans="1:10" s="1622" customFormat="1" ht="51" hidden="1">
      <c r="A383" s="1631"/>
      <c r="B383" s="1653"/>
      <c r="C383" s="1886" t="s">
        <v>877</v>
      </c>
      <c r="D383" s="1889" t="s">
        <v>757</v>
      </c>
      <c r="E383" s="1843">
        <v>0</v>
      </c>
      <c r="F383" s="1844"/>
      <c r="G383" s="1853"/>
      <c r="H383" s="1846" t="e">
        <f t="shared" si="19"/>
        <v>#DIV/0!</v>
      </c>
      <c r="J383" s="1370"/>
    </row>
    <row r="384" spans="1:10" s="1622" customFormat="1" ht="51" hidden="1">
      <c r="A384" s="1631"/>
      <c r="B384" s="1653"/>
      <c r="C384" s="1884" t="s">
        <v>566</v>
      </c>
      <c r="D384" s="1889" t="s">
        <v>757</v>
      </c>
      <c r="E384" s="1843">
        <v>0</v>
      </c>
      <c r="F384" s="1844"/>
      <c r="G384" s="1853"/>
      <c r="H384" s="1846" t="e">
        <f t="shared" si="19"/>
        <v>#DIV/0!</v>
      </c>
      <c r="J384" s="1370"/>
    </row>
    <row r="385" spans="1:10" s="1622" customFormat="1" ht="16.5" customHeight="1" thickBot="1">
      <c r="A385" s="1673"/>
      <c r="B385" s="1890"/>
      <c r="C385" s="1891"/>
      <c r="D385" s="1892"/>
      <c r="E385" s="1893"/>
      <c r="F385" s="1676"/>
      <c r="G385" s="1677"/>
      <c r="H385" s="1678"/>
      <c r="J385" s="1370"/>
    </row>
    <row r="386" spans="1:10" s="1622" customFormat="1" ht="16.5" customHeight="1">
      <c r="A386" s="1623"/>
      <c r="B386" s="1894"/>
      <c r="C386" s="4958" t="s">
        <v>758</v>
      </c>
      <c r="D386" s="4959"/>
      <c r="E386" s="1895">
        <f>SUM(E387:E395)</f>
        <v>254949539</v>
      </c>
      <c r="F386" s="1896">
        <f>SUM(F387:F395)</f>
        <v>250600272</v>
      </c>
      <c r="G386" s="1897">
        <f>SUM(G387:G395)</f>
        <v>132806672</v>
      </c>
      <c r="H386" s="1898">
        <f t="shared" ref="H386:H392" si="20">G386/F386</f>
        <v>0.52995422127873826</v>
      </c>
      <c r="J386" s="1370"/>
    </row>
    <row r="387" spans="1:10" s="1622" customFormat="1" ht="17.100000000000001" customHeight="1">
      <c r="A387" s="1631"/>
      <c r="B387" s="1653"/>
      <c r="C387" s="1899" t="s">
        <v>755</v>
      </c>
      <c r="D387" s="1900" t="s">
        <v>747</v>
      </c>
      <c r="E387" s="1843">
        <v>13761587</v>
      </c>
      <c r="F387" s="1901">
        <f>27329490+902848+200000+8110843</f>
        <v>36543181</v>
      </c>
      <c r="G387" s="1902">
        <v>32809195</v>
      </c>
      <c r="H387" s="1846">
        <f t="shared" si="20"/>
        <v>0.8978198969597091</v>
      </c>
      <c r="J387" s="1370"/>
    </row>
    <row r="388" spans="1:10" s="1622" customFormat="1" ht="17.100000000000001" customHeight="1">
      <c r="A388" s="1631"/>
      <c r="B388" s="1653"/>
      <c r="C388" s="1899" t="s">
        <v>855</v>
      </c>
      <c r="D388" s="1900" t="s">
        <v>747</v>
      </c>
      <c r="E388" s="1843">
        <v>171200556</v>
      </c>
      <c r="F388" s="1901">
        <v>153875276</v>
      </c>
      <c r="G388" s="1902">
        <v>84997854</v>
      </c>
      <c r="H388" s="1846">
        <f t="shared" si="20"/>
        <v>0.5523814884985162</v>
      </c>
      <c r="J388" s="1370"/>
    </row>
    <row r="389" spans="1:10" s="1622" customFormat="1" ht="17.100000000000001" customHeight="1">
      <c r="A389" s="1631"/>
      <c r="B389" s="1653"/>
      <c r="C389" s="1899" t="s">
        <v>870</v>
      </c>
      <c r="D389" s="1900" t="s">
        <v>747</v>
      </c>
      <c r="E389" s="1843">
        <v>0</v>
      </c>
      <c r="F389" s="1901">
        <f>11720+105534+764400</f>
        <v>881654</v>
      </c>
      <c r="G389" s="1902">
        <v>0</v>
      </c>
      <c r="H389" s="1846">
        <f t="shared" si="20"/>
        <v>0</v>
      </c>
      <c r="J389" s="1370"/>
    </row>
    <row r="390" spans="1:10" s="1622" customFormat="1" ht="17.100000000000001" customHeight="1">
      <c r="A390" s="1631"/>
      <c r="B390" s="1653"/>
      <c r="C390" s="1879" t="s">
        <v>856</v>
      </c>
      <c r="D390" s="1880" t="s">
        <v>747</v>
      </c>
      <c r="E390" s="1843">
        <v>59987396</v>
      </c>
      <c r="F390" s="1901">
        <f>23036145+4118319+2069+3447+84934</f>
        <v>27244914</v>
      </c>
      <c r="G390" s="1902">
        <v>14999623</v>
      </c>
      <c r="H390" s="1846">
        <f t="shared" si="20"/>
        <v>0.55054763615697222</v>
      </c>
      <c r="J390" s="1370"/>
    </row>
    <row r="391" spans="1:10" s="1622" customFormat="1" ht="17.100000000000001" customHeight="1">
      <c r="A391" s="1631"/>
      <c r="B391" s="1653"/>
      <c r="C391" s="1877" t="s">
        <v>746</v>
      </c>
      <c r="D391" s="1878" t="s">
        <v>801</v>
      </c>
      <c r="E391" s="1843">
        <v>1000000</v>
      </c>
      <c r="F391" s="1901">
        <v>11072175</v>
      </c>
      <c r="G391" s="1902">
        <v>0</v>
      </c>
      <c r="H391" s="1846">
        <f t="shared" si="20"/>
        <v>0</v>
      </c>
      <c r="J391" s="1370"/>
    </row>
    <row r="392" spans="1:10" s="1622" customFormat="1" ht="17.100000000000001" customHeight="1">
      <c r="A392" s="1631"/>
      <c r="B392" s="1653"/>
      <c r="C392" s="1903" t="s">
        <v>838</v>
      </c>
      <c r="D392" s="1904" t="s">
        <v>801</v>
      </c>
      <c r="E392" s="1843">
        <v>7650000</v>
      </c>
      <c r="F392" s="1901">
        <v>7317316</v>
      </c>
      <c r="G392" s="1902">
        <v>0</v>
      </c>
      <c r="H392" s="1846">
        <f t="shared" si="20"/>
        <v>0</v>
      </c>
      <c r="J392" s="1370"/>
    </row>
    <row r="393" spans="1:10" s="1622" customFormat="1" ht="17.100000000000001" hidden="1" customHeight="1">
      <c r="A393" s="1631"/>
      <c r="B393" s="1653"/>
      <c r="C393" s="1905" t="s">
        <v>871</v>
      </c>
      <c r="D393" s="1880" t="s">
        <v>801</v>
      </c>
      <c r="E393" s="1843">
        <v>0</v>
      </c>
      <c r="F393" s="1901"/>
      <c r="G393" s="1902"/>
      <c r="H393" s="1846"/>
      <c r="J393" s="1370"/>
    </row>
    <row r="394" spans="1:10" s="1622" customFormat="1" ht="17.100000000000001" customHeight="1">
      <c r="A394" s="1631"/>
      <c r="B394" s="1653"/>
      <c r="C394" s="1877" t="s">
        <v>853</v>
      </c>
      <c r="D394" s="1878" t="s">
        <v>801</v>
      </c>
      <c r="E394" s="1843">
        <v>1350000</v>
      </c>
      <c r="F394" s="1901">
        <v>1291292</v>
      </c>
      <c r="G394" s="1902">
        <v>0</v>
      </c>
      <c r="H394" s="1846">
        <f t="shared" ref="H394:H401" si="21">G394/F394</f>
        <v>0</v>
      </c>
      <c r="J394" s="1370"/>
    </row>
    <row r="395" spans="1:10" s="1622" customFormat="1" ht="63" customHeight="1" thickBot="1">
      <c r="A395" s="1653"/>
      <c r="B395" s="1653"/>
      <c r="C395" s="1886" t="s">
        <v>381</v>
      </c>
      <c r="D395" s="1887" t="s">
        <v>857</v>
      </c>
      <c r="E395" s="1858">
        <v>0</v>
      </c>
      <c r="F395" s="1906">
        <v>12374464</v>
      </c>
      <c r="G395" s="1902">
        <v>0</v>
      </c>
      <c r="H395" s="1846">
        <f t="shared" si="21"/>
        <v>0</v>
      </c>
      <c r="J395" s="1370"/>
    </row>
    <row r="396" spans="1:10" ht="51.75" hidden="1" customHeight="1" thickBot="1">
      <c r="A396" s="1556"/>
      <c r="B396" s="1750"/>
      <c r="C396" s="1907" t="s">
        <v>877</v>
      </c>
      <c r="D396" s="1908" t="s">
        <v>757</v>
      </c>
      <c r="E396" s="1736">
        <v>0</v>
      </c>
      <c r="F396" s="1909"/>
      <c r="G396" s="1738"/>
      <c r="H396" s="1739" t="e">
        <f t="shared" si="21"/>
        <v>#DIV/0!</v>
      </c>
    </row>
    <row r="397" spans="1:10" ht="56.25" hidden="1" customHeight="1" thickBot="1">
      <c r="A397" s="1556"/>
      <c r="B397" s="1750"/>
      <c r="C397" s="1910" t="s">
        <v>566</v>
      </c>
      <c r="D397" s="1908" t="s">
        <v>757</v>
      </c>
      <c r="E397" s="1736">
        <v>0</v>
      </c>
      <c r="F397" s="1737"/>
      <c r="G397" s="1738"/>
      <c r="H397" s="1840" t="e">
        <f t="shared" si="21"/>
        <v>#DIV/0!</v>
      </c>
    </row>
    <row r="398" spans="1:10" ht="15" customHeight="1" thickBot="1">
      <c r="A398" s="1556"/>
      <c r="B398" s="1500" t="s">
        <v>878</v>
      </c>
      <c r="C398" s="1501"/>
      <c r="D398" s="1502" t="s">
        <v>879</v>
      </c>
      <c r="E398" s="1503">
        <f>SUM(E399,E403)</f>
        <v>1315716</v>
      </c>
      <c r="F398" s="1504">
        <f>SUM(F399,F403)</f>
        <v>4407003</v>
      </c>
      <c r="G398" s="1505">
        <f>SUM(G399,G403)</f>
        <v>1060926</v>
      </c>
      <c r="H398" s="1506">
        <f t="shared" si="21"/>
        <v>0.24073639160218407</v>
      </c>
    </row>
    <row r="399" spans="1:10" ht="15" customHeight="1">
      <c r="A399" s="1556"/>
      <c r="B399" s="1911"/>
      <c r="C399" s="4944" t="s">
        <v>688</v>
      </c>
      <c r="D399" s="4944"/>
      <c r="E399" s="1912">
        <f t="shared" ref="E399:G400" si="22">SUM(E400)</f>
        <v>0</v>
      </c>
      <c r="F399" s="1913">
        <f t="shared" si="22"/>
        <v>50000</v>
      </c>
      <c r="G399" s="1914">
        <f t="shared" si="22"/>
        <v>0</v>
      </c>
      <c r="H399" s="1509">
        <f t="shared" si="21"/>
        <v>0</v>
      </c>
    </row>
    <row r="400" spans="1:10" ht="15" customHeight="1">
      <c r="A400" s="1556"/>
      <c r="B400" s="1915"/>
      <c r="C400" s="4945" t="s">
        <v>797</v>
      </c>
      <c r="D400" s="4945"/>
      <c r="E400" s="1916">
        <f t="shared" si="22"/>
        <v>0</v>
      </c>
      <c r="F400" s="1917">
        <f t="shared" si="22"/>
        <v>50000</v>
      </c>
      <c r="G400" s="1918">
        <f t="shared" si="22"/>
        <v>0</v>
      </c>
      <c r="H400" s="1716">
        <f t="shared" si="21"/>
        <v>0</v>
      </c>
    </row>
    <row r="401" spans="1:143" ht="40.5" customHeight="1">
      <c r="A401" s="1556"/>
      <c r="B401" s="1915"/>
      <c r="C401" s="1919" t="s">
        <v>353</v>
      </c>
      <c r="D401" s="1920" t="s">
        <v>849</v>
      </c>
      <c r="E401" s="1916">
        <v>0</v>
      </c>
      <c r="F401" s="1714">
        <v>50000</v>
      </c>
      <c r="G401" s="1715">
        <v>0</v>
      </c>
      <c r="H401" s="1716">
        <f t="shared" si="21"/>
        <v>0</v>
      </c>
    </row>
    <row r="402" spans="1:143" ht="16.5" customHeight="1">
      <c r="A402" s="1556"/>
      <c r="B402" s="1921"/>
      <c r="C402" s="1922"/>
      <c r="D402" s="1923"/>
      <c r="E402" s="1924"/>
      <c r="F402" s="1737"/>
      <c r="G402" s="1738"/>
      <c r="H402" s="1739"/>
    </row>
    <row r="403" spans="1:143">
      <c r="A403" s="1556"/>
      <c r="B403" s="1556"/>
      <c r="C403" s="4946" t="s">
        <v>744</v>
      </c>
      <c r="D403" s="4947"/>
      <c r="E403" s="1925">
        <f t="shared" ref="E403:G404" si="23">SUM(E404)</f>
        <v>1315716</v>
      </c>
      <c r="F403" s="1418">
        <f t="shared" si="23"/>
        <v>4357003</v>
      </c>
      <c r="G403" s="1926">
        <f t="shared" si="23"/>
        <v>1060926</v>
      </c>
      <c r="H403" s="1927">
        <f t="shared" ref="H403:H417" si="24">G403/F403</f>
        <v>0.24349902903440737</v>
      </c>
    </row>
    <row r="404" spans="1:143" ht="16.5" customHeight="1">
      <c r="A404" s="1556"/>
      <c r="B404" s="1556"/>
      <c r="C404" s="4948" t="s">
        <v>745</v>
      </c>
      <c r="D404" s="4949"/>
      <c r="E404" s="1928">
        <f t="shared" si="23"/>
        <v>1315716</v>
      </c>
      <c r="F404" s="1929">
        <f t="shared" si="23"/>
        <v>4357003</v>
      </c>
      <c r="G404" s="1930">
        <f t="shared" si="23"/>
        <v>1060926</v>
      </c>
      <c r="H404" s="1931">
        <f t="shared" si="24"/>
        <v>0.24349902903440737</v>
      </c>
    </row>
    <row r="405" spans="1:143" ht="43.5" customHeight="1" thickBot="1">
      <c r="A405" s="1750"/>
      <c r="B405" s="1797"/>
      <c r="C405" s="1932" t="s">
        <v>880</v>
      </c>
      <c r="D405" s="1933" t="s">
        <v>881</v>
      </c>
      <c r="E405" s="1934">
        <v>1315716</v>
      </c>
      <c r="F405" s="1538">
        <v>4357003</v>
      </c>
      <c r="G405" s="1935">
        <v>1060926</v>
      </c>
      <c r="H405" s="1540">
        <f t="shared" si="24"/>
        <v>0.24349902903440737</v>
      </c>
    </row>
    <row r="406" spans="1:143" s="1945" customFormat="1" ht="17.25" hidden="1" customHeight="1" thickBot="1">
      <c r="A406" s="1936"/>
      <c r="B406" s="1937" t="s">
        <v>882</v>
      </c>
      <c r="C406" s="1938"/>
      <c r="D406" s="1939" t="s">
        <v>883</v>
      </c>
      <c r="E406" s="1560">
        <v>0</v>
      </c>
      <c r="F406" s="1940"/>
      <c r="G406" s="1941"/>
      <c r="H406" s="1942" t="e">
        <f t="shared" si="24"/>
        <v>#DIV/0!</v>
      </c>
      <c r="I406" s="1943"/>
      <c r="J406" s="1944"/>
      <c r="K406" s="1943"/>
      <c r="L406" s="1943"/>
      <c r="M406" s="1943"/>
      <c r="N406" s="1943"/>
      <c r="O406" s="1943"/>
      <c r="P406" s="1943"/>
      <c r="Q406" s="1943"/>
      <c r="R406" s="1943"/>
      <c r="S406" s="1943"/>
      <c r="T406" s="1943"/>
      <c r="U406" s="1943"/>
      <c r="V406" s="1943"/>
      <c r="W406" s="1943"/>
      <c r="X406" s="1943"/>
      <c r="Y406" s="1943"/>
      <c r="Z406" s="1943"/>
      <c r="AA406" s="1943"/>
      <c r="AB406" s="1943"/>
      <c r="AC406" s="1943"/>
      <c r="AD406" s="1943"/>
      <c r="AE406" s="1943"/>
      <c r="AF406" s="1943"/>
      <c r="AG406" s="1943"/>
      <c r="AH406" s="1943"/>
      <c r="AI406" s="1943"/>
      <c r="AJ406" s="1943"/>
      <c r="AK406" s="1943"/>
      <c r="AL406" s="1943"/>
      <c r="AM406" s="1943"/>
      <c r="AN406" s="1943"/>
      <c r="AO406" s="1943"/>
      <c r="AP406" s="1943"/>
      <c r="AQ406" s="1943"/>
      <c r="AR406" s="1943"/>
      <c r="AS406" s="1943"/>
      <c r="AT406" s="1943"/>
      <c r="AU406" s="1943"/>
      <c r="AV406" s="1943"/>
      <c r="AW406" s="1943"/>
      <c r="AX406" s="1943"/>
      <c r="AY406" s="1943"/>
      <c r="AZ406" s="1943"/>
      <c r="BA406" s="1943"/>
      <c r="BB406" s="1943"/>
      <c r="BC406" s="1943"/>
      <c r="BD406" s="1943"/>
      <c r="BE406" s="1943"/>
      <c r="BF406" s="1943"/>
      <c r="BG406" s="1943"/>
      <c r="BH406" s="1943"/>
      <c r="BI406" s="1943"/>
      <c r="BJ406" s="1943"/>
      <c r="BK406" s="1943"/>
      <c r="BL406" s="1943"/>
      <c r="BM406" s="1943"/>
      <c r="BN406" s="1943"/>
      <c r="BO406" s="1943"/>
      <c r="BP406" s="1943"/>
      <c r="BQ406" s="1943"/>
      <c r="BR406" s="1943"/>
      <c r="BS406" s="1943"/>
      <c r="BT406" s="1943"/>
      <c r="BU406" s="1943"/>
      <c r="BV406" s="1943"/>
      <c r="BW406" s="1943"/>
      <c r="BX406" s="1943"/>
      <c r="BY406" s="1943"/>
      <c r="BZ406" s="1943"/>
      <c r="CA406" s="1943"/>
      <c r="CB406" s="1943"/>
      <c r="CC406" s="1943"/>
      <c r="CD406" s="1943"/>
      <c r="CE406" s="1943"/>
      <c r="CF406" s="1943"/>
      <c r="CG406" s="1943"/>
      <c r="CH406" s="1943"/>
      <c r="CI406" s="1943"/>
      <c r="CJ406" s="1943"/>
      <c r="CK406" s="1943"/>
      <c r="CL406" s="1943"/>
      <c r="CM406" s="1943"/>
      <c r="CN406" s="1943"/>
      <c r="CO406" s="1943"/>
      <c r="CP406" s="1943"/>
      <c r="CQ406" s="1943"/>
      <c r="CR406" s="1943"/>
      <c r="CS406" s="1943"/>
      <c r="CT406" s="1943"/>
      <c r="CU406" s="1943"/>
      <c r="CV406" s="1943"/>
      <c r="CW406" s="1943"/>
      <c r="CX406" s="1943"/>
      <c r="CY406" s="1943"/>
      <c r="CZ406" s="1943"/>
      <c r="DA406" s="1943"/>
      <c r="DB406" s="1943"/>
      <c r="DC406" s="1943"/>
      <c r="DD406" s="1943"/>
      <c r="DE406" s="1943"/>
      <c r="DF406" s="1943"/>
      <c r="DG406" s="1943"/>
      <c r="DH406" s="1943"/>
      <c r="DI406" s="1943"/>
      <c r="DJ406" s="1943"/>
      <c r="DK406" s="1943"/>
      <c r="DL406" s="1943"/>
      <c r="DM406" s="1943"/>
      <c r="DN406" s="1943"/>
      <c r="DO406" s="1943"/>
      <c r="DP406" s="1943"/>
      <c r="DQ406" s="1943"/>
      <c r="DR406" s="1943"/>
      <c r="DS406" s="1943"/>
      <c r="DT406" s="1943"/>
      <c r="DU406" s="1943"/>
      <c r="DV406" s="1943"/>
      <c r="DW406" s="1943"/>
      <c r="DX406" s="1943"/>
      <c r="DY406" s="1943"/>
      <c r="DZ406" s="1943"/>
      <c r="EA406" s="1943"/>
      <c r="EB406" s="1943"/>
      <c r="EC406" s="1943"/>
      <c r="ED406" s="1943"/>
      <c r="EE406" s="1943"/>
      <c r="EF406" s="1943"/>
      <c r="EG406" s="1943"/>
      <c r="EH406" s="1943"/>
      <c r="EI406" s="1943"/>
      <c r="EJ406" s="1943"/>
      <c r="EK406" s="1943"/>
      <c r="EL406" s="1943"/>
      <c r="EM406" s="1943"/>
    </row>
    <row r="407" spans="1:143" s="1950" customFormat="1" ht="18" hidden="1" customHeight="1" thickBot="1">
      <c r="A407" s="1556"/>
      <c r="B407" s="4679"/>
      <c r="C407" s="4950" t="s">
        <v>884</v>
      </c>
      <c r="D407" s="4950"/>
      <c r="E407" s="1946">
        <v>0</v>
      </c>
      <c r="F407" s="1947"/>
      <c r="G407" s="1948"/>
      <c r="H407" s="1949" t="e">
        <f t="shared" si="24"/>
        <v>#DIV/0!</v>
      </c>
      <c r="I407" s="1369"/>
      <c r="J407" s="1370"/>
      <c r="K407" s="1369"/>
      <c r="L407" s="1369"/>
      <c r="M407" s="1369"/>
      <c r="N407" s="1369"/>
      <c r="O407" s="1369"/>
      <c r="P407" s="1369"/>
      <c r="Q407" s="1369"/>
      <c r="R407" s="1369"/>
      <c r="S407" s="1369"/>
      <c r="T407" s="1369"/>
      <c r="U407" s="1369"/>
      <c r="V407" s="1369"/>
      <c r="W407" s="1369"/>
      <c r="X407" s="1369"/>
      <c r="Y407" s="1369"/>
      <c r="Z407" s="1369"/>
      <c r="AA407" s="1369"/>
      <c r="AB407" s="1369"/>
      <c r="AC407" s="1369"/>
      <c r="AD407" s="1369"/>
      <c r="AE407" s="1369"/>
      <c r="AF407" s="1369"/>
      <c r="AG407" s="1369"/>
      <c r="AH407" s="1369"/>
      <c r="AI407" s="1369"/>
      <c r="AJ407" s="1369"/>
      <c r="AK407" s="1369"/>
      <c r="AL407" s="1369"/>
      <c r="AM407" s="1369"/>
      <c r="AN407" s="1369"/>
      <c r="AO407" s="1369"/>
      <c r="AP407" s="1369"/>
      <c r="AQ407" s="1369"/>
      <c r="AR407" s="1369"/>
      <c r="AS407" s="1369"/>
      <c r="AT407" s="1369"/>
      <c r="AU407" s="1369"/>
      <c r="AV407" s="1369"/>
      <c r="AW407" s="1369"/>
      <c r="AX407" s="1369"/>
      <c r="AY407" s="1369"/>
      <c r="AZ407" s="1369"/>
      <c r="BA407" s="1369"/>
      <c r="BB407" s="1369"/>
      <c r="BC407" s="1369"/>
      <c r="BD407" s="1369"/>
      <c r="BE407" s="1369"/>
      <c r="BF407" s="1369"/>
      <c r="BG407" s="1369"/>
      <c r="BH407" s="1369"/>
      <c r="BI407" s="1369"/>
      <c r="BJ407" s="1369"/>
      <c r="BK407" s="1369"/>
      <c r="BL407" s="1369"/>
      <c r="BM407" s="1369"/>
      <c r="BN407" s="1369"/>
      <c r="BO407" s="1369"/>
      <c r="BP407" s="1369"/>
      <c r="BQ407" s="1369"/>
      <c r="BR407" s="1369"/>
      <c r="BS407" s="1369"/>
      <c r="BT407" s="1369"/>
      <c r="BU407" s="1369"/>
      <c r="BV407" s="1369"/>
      <c r="BW407" s="1369"/>
      <c r="BX407" s="1369"/>
      <c r="BY407" s="1369"/>
      <c r="BZ407" s="1369"/>
      <c r="CA407" s="1369"/>
      <c r="CB407" s="1369"/>
      <c r="CC407" s="1369"/>
      <c r="CD407" s="1369"/>
      <c r="CE407" s="1369"/>
      <c r="CF407" s="1369"/>
      <c r="CG407" s="1369"/>
      <c r="CH407" s="1369"/>
      <c r="CI407" s="1369"/>
      <c r="CJ407" s="1369"/>
      <c r="CK407" s="1369"/>
      <c r="CL407" s="1369"/>
      <c r="CM407" s="1369"/>
      <c r="CN407" s="1369"/>
      <c r="CO407" s="1369"/>
      <c r="CP407" s="1369"/>
      <c r="CQ407" s="1369"/>
      <c r="CR407" s="1369"/>
      <c r="CS407" s="1369"/>
      <c r="CT407" s="1369"/>
      <c r="CU407" s="1369"/>
      <c r="CV407" s="1369"/>
      <c r="CW407" s="1369"/>
      <c r="CX407" s="1369"/>
      <c r="CY407" s="1369"/>
      <c r="CZ407" s="1369"/>
      <c r="DA407" s="1369"/>
      <c r="DB407" s="1369"/>
      <c r="DC407" s="1369"/>
      <c r="DD407" s="1369"/>
      <c r="DE407" s="1369"/>
      <c r="DF407" s="1369"/>
      <c r="DG407" s="1369"/>
      <c r="DH407" s="1369"/>
      <c r="DI407" s="1369"/>
      <c r="DJ407" s="1369"/>
      <c r="DK407" s="1369"/>
      <c r="DL407" s="1369"/>
      <c r="DM407" s="1369"/>
      <c r="DN407" s="1369"/>
      <c r="DO407" s="1369"/>
      <c r="DP407" s="1369"/>
      <c r="DQ407" s="1369"/>
      <c r="DR407" s="1369"/>
      <c r="DS407" s="1369"/>
      <c r="DT407" s="1369"/>
      <c r="DU407" s="1369"/>
      <c r="DV407" s="1369"/>
      <c r="DW407" s="1369"/>
      <c r="DX407" s="1369"/>
      <c r="DY407" s="1369"/>
      <c r="DZ407" s="1369"/>
      <c r="EA407" s="1369"/>
      <c r="EB407" s="1369"/>
      <c r="EC407" s="1369"/>
      <c r="ED407" s="1369"/>
      <c r="EE407" s="1369"/>
      <c r="EF407" s="1369"/>
      <c r="EG407" s="1369"/>
      <c r="EH407" s="1369"/>
      <c r="EI407" s="1369"/>
      <c r="EJ407" s="1369"/>
      <c r="EK407" s="1369"/>
      <c r="EL407" s="1369"/>
      <c r="EM407" s="1369"/>
    </row>
    <row r="408" spans="1:143" s="1950" customFormat="1" ht="15" hidden="1" customHeight="1" thickBot="1">
      <c r="A408" s="1556"/>
      <c r="B408" s="4679"/>
      <c r="C408" s="4951" t="s">
        <v>885</v>
      </c>
      <c r="D408" s="4951"/>
      <c r="E408" s="1951">
        <v>0</v>
      </c>
      <c r="F408" s="1947"/>
      <c r="G408" s="1948"/>
      <c r="H408" s="1949" t="e">
        <f t="shared" si="24"/>
        <v>#DIV/0!</v>
      </c>
      <c r="I408" s="1369"/>
      <c r="J408" s="1370"/>
      <c r="K408" s="1369"/>
      <c r="L408" s="1369"/>
      <c r="M408" s="1369"/>
      <c r="N408" s="1369"/>
      <c r="O408" s="1369"/>
      <c r="P408" s="1369"/>
      <c r="Q408" s="1369"/>
      <c r="R408" s="1369"/>
      <c r="S408" s="1369"/>
      <c r="T408" s="1369"/>
      <c r="U408" s="1369"/>
      <c r="V408" s="1369"/>
      <c r="W408" s="1369"/>
      <c r="X408" s="1369"/>
      <c r="Y408" s="1369"/>
      <c r="Z408" s="1369"/>
      <c r="AA408" s="1369"/>
      <c r="AB408" s="1369"/>
      <c r="AC408" s="1369"/>
      <c r="AD408" s="1369"/>
      <c r="AE408" s="1369"/>
      <c r="AF408" s="1369"/>
      <c r="AG408" s="1369"/>
      <c r="AH408" s="1369"/>
      <c r="AI408" s="1369"/>
      <c r="AJ408" s="1369"/>
      <c r="AK408" s="1369"/>
      <c r="AL408" s="1369"/>
      <c r="AM408" s="1369"/>
      <c r="AN408" s="1369"/>
      <c r="AO408" s="1369"/>
      <c r="AP408" s="1369"/>
      <c r="AQ408" s="1369"/>
      <c r="AR408" s="1369"/>
      <c r="AS408" s="1369"/>
      <c r="AT408" s="1369"/>
      <c r="AU408" s="1369"/>
      <c r="AV408" s="1369"/>
      <c r="AW408" s="1369"/>
      <c r="AX408" s="1369"/>
      <c r="AY408" s="1369"/>
      <c r="AZ408" s="1369"/>
      <c r="BA408" s="1369"/>
      <c r="BB408" s="1369"/>
      <c r="BC408" s="1369"/>
      <c r="BD408" s="1369"/>
      <c r="BE408" s="1369"/>
      <c r="BF408" s="1369"/>
      <c r="BG408" s="1369"/>
      <c r="BH408" s="1369"/>
      <c r="BI408" s="1369"/>
      <c r="BJ408" s="1369"/>
      <c r="BK408" s="1369"/>
      <c r="BL408" s="1369"/>
      <c r="BM408" s="1369"/>
      <c r="BN408" s="1369"/>
      <c r="BO408" s="1369"/>
      <c r="BP408" s="1369"/>
      <c r="BQ408" s="1369"/>
      <c r="BR408" s="1369"/>
      <c r="BS408" s="1369"/>
      <c r="BT408" s="1369"/>
      <c r="BU408" s="1369"/>
      <c r="BV408" s="1369"/>
      <c r="BW408" s="1369"/>
      <c r="BX408" s="1369"/>
      <c r="BY408" s="1369"/>
      <c r="BZ408" s="1369"/>
      <c r="CA408" s="1369"/>
      <c r="CB408" s="1369"/>
      <c r="CC408" s="1369"/>
      <c r="CD408" s="1369"/>
      <c r="CE408" s="1369"/>
      <c r="CF408" s="1369"/>
      <c r="CG408" s="1369"/>
      <c r="CH408" s="1369"/>
      <c r="CI408" s="1369"/>
      <c r="CJ408" s="1369"/>
      <c r="CK408" s="1369"/>
      <c r="CL408" s="1369"/>
      <c r="CM408" s="1369"/>
      <c r="CN408" s="1369"/>
      <c r="CO408" s="1369"/>
      <c r="CP408" s="1369"/>
      <c r="CQ408" s="1369"/>
      <c r="CR408" s="1369"/>
      <c r="CS408" s="1369"/>
      <c r="CT408" s="1369"/>
      <c r="CU408" s="1369"/>
      <c r="CV408" s="1369"/>
      <c r="CW408" s="1369"/>
      <c r="CX408" s="1369"/>
      <c r="CY408" s="1369"/>
      <c r="CZ408" s="1369"/>
      <c r="DA408" s="1369"/>
      <c r="DB408" s="1369"/>
      <c r="DC408" s="1369"/>
      <c r="DD408" s="1369"/>
      <c r="DE408" s="1369"/>
      <c r="DF408" s="1369"/>
      <c r="DG408" s="1369"/>
      <c r="DH408" s="1369"/>
      <c r="DI408" s="1369"/>
      <c r="DJ408" s="1369"/>
      <c r="DK408" s="1369"/>
      <c r="DL408" s="1369"/>
      <c r="DM408" s="1369"/>
      <c r="DN408" s="1369"/>
      <c r="DO408" s="1369"/>
      <c r="DP408" s="1369"/>
      <c r="DQ408" s="1369"/>
      <c r="DR408" s="1369"/>
      <c r="DS408" s="1369"/>
      <c r="DT408" s="1369"/>
      <c r="DU408" s="1369"/>
      <c r="DV408" s="1369"/>
      <c r="DW408" s="1369"/>
      <c r="DX408" s="1369"/>
      <c r="DY408" s="1369"/>
      <c r="DZ408" s="1369"/>
      <c r="EA408" s="1369"/>
      <c r="EB408" s="1369"/>
      <c r="EC408" s="1369"/>
      <c r="ED408" s="1369"/>
      <c r="EE408" s="1369"/>
      <c r="EF408" s="1369"/>
      <c r="EG408" s="1369"/>
      <c r="EH408" s="1369"/>
      <c r="EI408" s="1369"/>
      <c r="EJ408" s="1369"/>
      <c r="EK408" s="1369"/>
      <c r="EL408" s="1369"/>
      <c r="EM408" s="1369"/>
    </row>
    <row r="409" spans="1:143" s="1950" customFormat="1" ht="49.5" hidden="1" customHeight="1" thickBot="1">
      <c r="A409" s="1556"/>
      <c r="B409" s="4679"/>
      <c r="C409" s="1952" t="s">
        <v>880</v>
      </c>
      <c r="D409" s="1953" t="s">
        <v>881</v>
      </c>
      <c r="E409" s="1954">
        <v>0</v>
      </c>
      <c r="F409" s="1955"/>
      <c r="G409" s="1956"/>
      <c r="H409" s="1957" t="e">
        <f t="shared" si="24"/>
        <v>#DIV/0!</v>
      </c>
      <c r="I409" s="1369"/>
      <c r="J409" s="1370"/>
      <c r="K409" s="1369"/>
      <c r="L409" s="1369"/>
      <c r="M409" s="1369"/>
      <c r="N409" s="1369"/>
      <c r="O409" s="1369"/>
      <c r="P409" s="1369"/>
      <c r="Q409" s="1369"/>
      <c r="R409" s="1369"/>
      <c r="S409" s="1369"/>
      <c r="T409" s="1369"/>
      <c r="U409" s="1369"/>
      <c r="V409" s="1369"/>
      <c r="W409" s="1369"/>
      <c r="X409" s="1369"/>
      <c r="Y409" s="1369"/>
      <c r="Z409" s="1369"/>
      <c r="AA409" s="1369"/>
      <c r="AB409" s="1369"/>
      <c r="AC409" s="1369"/>
      <c r="AD409" s="1369"/>
      <c r="AE409" s="1369"/>
      <c r="AF409" s="1369"/>
      <c r="AG409" s="1369"/>
      <c r="AH409" s="1369"/>
      <c r="AI409" s="1369"/>
      <c r="AJ409" s="1369"/>
      <c r="AK409" s="1369"/>
      <c r="AL409" s="1369"/>
      <c r="AM409" s="1369"/>
      <c r="AN409" s="1369"/>
      <c r="AO409" s="1369"/>
      <c r="AP409" s="1369"/>
      <c r="AQ409" s="1369"/>
      <c r="AR409" s="1369"/>
      <c r="AS409" s="1369"/>
      <c r="AT409" s="1369"/>
      <c r="AU409" s="1369"/>
      <c r="AV409" s="1369"/>
      <c r="AW409" s="1369"/>
      <c r="AX409" s="1369"/>
      <c r="AY409" s="1369"/>
      <c r="AZ409" s="1369"/>
      <c r="BA409" s="1369"/>
      <c r="BB409" s="1369"/>
      <c r="BC409" s="1369"/>
      <c r="BD409" s="1369"/>
      <c r="BE409" s="1369"/>
      <c r="BF409" s="1369"/>
      <c r="BG409" s="1369"/>
      <c r="BH409" s="1369"/>
      <c r="BI409" s="1369"/>
      <c r="BJ409" s="1369"/>
      <c r="BK409" s="1369"/>
      <c r="BL409" s="1369"/>
      <c r="BM409" s="1369"/>
      <c r="BN409" s="1369"/>
      <c r="BO409" s="1369"/>
      <c r="BP409" s="1369"/>
      <c r="BQ409" s="1369"/>
      <c r="BR409" s="1369"/>
      <c r="BS409" s="1369"/>
      <c r="BT409" s="1369"/>
      <c r="BU409" s="1369"/>
      <c r="BV409" s="1369"/>
      <c r="BW409" s="1369"/>
      <c r="BX409" s="1369"/>
      <c r="BY409" s="1369"/>
      <c r="BZ409" s="1369"/>
      <c r="CA409" s="1369"/>
      <c r="CB409" s="1369"/>
      <c r="CC409" s="1369"/>
      <c r="CD409" s="1369"/>
      <c r="CE409" s="1369"/>
      <c r="CF409" s="1369"/>
      <c r="CG409" s="1369"/>
      <c r="CH409" s="1369"/>
      <c r="CI409" s="1369"/>
      <c r="CJ409" s="1369"/>
      <c r="CK409" s="1369"/>
      <c r="CL409" s="1369"/>
      <c r="CM409" s="1369"/>
      <c r="CN409" s="1369"/>
      <c r="CO409" s="1369"/>
      <c r="CP409" s="1369"/>
      <c r="CQ409" s="1369"/>
      <c r="CR409" s="1369"/>
      <c r="CS409" s="1369"/>
      <c r="CT409" s="1369"/>
      <c r="CU409" s="1369"/>
      <c r="CV409" s="1369"/>
      <c r="CW409" s="1369"/>
      <c r="CX409" s="1369"/>
      <c r="CY409" s="1369"/>
      <c r="CZ409" s="1369"/>
      <c r="DA409" s="1369"/>
      <c r="DB409" s="1369"/>
      <c r="DC409" s="1369"/>
      <c r="DD409" s="1369"/>
      <c r="DE409" s="1369"/>
      <c r="DF409" s="1369"/>
      <c r="DG409" s="1369"/>
      <c r="DH409" s="1369"/>
      <c r="DI409" s="1369"/>
      <c r="DJ409" s="1369"/>
      <c r="DK409" s="1369"/>
      <c r="DL409" s="1369"/>
      <c r="DM409" s="1369"/>
      <c r="DN409" s="1369"/>
      <c r="DO409" s="1369"/>
      <c r="DP409" s="1369"/>
      <c r="DQ409" s="1369"/>
      <c r="DR409" s="1369"/>
      <c r="DS409" s="1369"/>
      <c r="DT409" s="1369"/>
      <c r="DU409" s="1369"/>
      <c r="DV409" s="1369"/>
      <c r="DW409" s="1369"/>
      <c r="DX409" s="1369"/>
      <c r="DY409" s="1369"/>
      <c r="DZ409" s="1369"/>
      <c r="EA409" s="1369"/>
      <c r="EB409" s="1369"/>
      <c r="EC409" s="1369"/>
      <c r="ED409" s="1369"/>
      <c r="EE409" s="1369"/>
      <c r="EF409" s="1369"/>
      <c r="EG409" s="1369"/>
      <c r="EH409" s="1369"/>
      <c r="EI409" s="1369"/>
      <c r="EJ409" s="1369"/>
      <c r="EK409" s="1369"/>
      <c r="EL409" s="1369"/>
      <c r="EM409" s="1369"/>
    </row>
    <row r="410" spans="1:143" ht="15" customHeight="1" thickBot="1">
      <c r="A410" s="1750"/>
      <c r="B410" s="1500" t="s">
        <v>886</v>
      </c>
      <c r="C410" s="1501"/>
      <c r="D410" s="1502" t="s">
        <v>887</v>
      </c>
      <c r="E410" s="1803">
        <f t="shared" ref="E410:G412" si="25">SUM(E411)</f>
        <v>1000000</v>
      </c>
      <c r="F410" s="1804">
        <f t="shared" si="25"/>
        <v>1010000</v>
      </c>
      <c r="G410" s="1805">
        <f t="shared" si="25"/>
        <v>1000000</v>
      </c>
      <c r="H410" s="1506">
        <f t="shared" si="24"/>
        <v>0.99009900990099009</v>
      </c>
    </row>
    <row r="411" spans="1:143" ht="14.25" customHeight="1">
      <c r="A411" s="1556"/>
      <c r="B411" s="1429"/>
      <c r="C411" s="4937" t="s">
        <v>744</v>
      </c>
      <c r="D411" s="4901"/>
      <c r="E411" s="1815">
        <f t="shared" si="25"/>
        <v>1000000</v>
      </c>
      <c r="F411" s="1816">
        <f t="shared" si="25"/>
        <v>1010000</v>
      </c>
      <c r="G411" s="1817">
        <f t="shared" si="25"/>
        <v>1000000</v>
      </c>
      <c r="H411" s="1509">
        <f t="shared" si="24"/>
        <v>0.99009900990099009</v>
      </c>
    </row>
    <row r="412" spans="1:143" ht="16.5" customHeight="1">
      <c r="A412" s="1556"/>
      <c r="B412" s="1429"/>
      <c r="C412" s="4938" t="s">
        <v>745</v>
      </c>
      <c r="D412" s="4939"/>
      <c r="E412" s="1958">
        <f t="shared" si="25"/>
        <v>1000000</v>
      </c>
      <c r="F412" s="1959">
        <f t="shared" si="25"/>
        <v>1010000</v>
      </c>
      <c r="G412" s="1960">
        <f t="shared" si="25"/>
        <v>1000000</v>
      </c>
      <c r="H412" s="1961">
        <f t="shared" si="24"/>
        <v>0.99009900990099009</v>
      </c>
    </row>
    <row r="413" spans="1:143" ht="47.25" customHeight="1" thickBot="1">
      <c r="A413" s="1750"/>
      <c r="B413" s="1591"/>
      <c r="C413" s="1932" t="s">
        <v>880</v>
      </c>
      <c r="D413" s="1962" t="s">
        <v>881</v>
      </c>
      <c r="E413" s="1801">
        <v>1000000</v>
      </c>
      <c r="F413" s="1538">
        <v>1010000</v>
      </c>
      <c r="G413" s="1802">
        <v>1000000</v>
      </c>
      <c r="H413" s="1540">
        <f t="shared" si="24"/>
        <v>0.99009900990099009</v>
      </c>
    </row>
    <row r="414" spans="1:143" ht="15.75" customHeight="1" thickBot="1">
      <c r="A414" s="1556"/>
      <c r="B414" s="1541" t="s">
        <v>888</v>
      </c>
      <c r="C414" s="1963"/>
      <c r="D414" s="1964" t="s">
        <v>889</v>
      </c>
      <c r="E414" s="1544">
        <f>SUM(E415,E419)</f>
        <v>200000</v>
      </c>
      <c r="F414" s="1545">
        <f>SUM(F415,F419)</f>
        <v>407500</v>
      </c>
      <c r="G414" s="1546">
        <f>SUM(G415,G419)</f>
        <v>0</v>
      </c>
      <c r="H414" s="1547">
        <f t="shared" si="24"/>
        <v>0</v>
      </c>
    </row>
    <row r="415" spans="1:143" ht="15.75" customHeight="1">
      <c r="A415" s="1556"/>
      <c r="B415" s="4692"/>
      <c r="C415" s="4941" t="s">
        <v>688</v>
      </c>
      <c r="D415" s="4942"/>
      <c r="E415" s="1912">
        <f t="shared" ref="E415:G416" si="26">SUM(E416)</f>
        <v>0</v>
      </c>
      <c r="F415" s="1913">
        <f t="shared" si="26"/>
        <v>100000</v>
      </c>
      <c r="G415" s="1914">
        <f t="shared" si="26"/>
        <v>0</v>
      </c>
      <c r="H415" s="1509">
        <f t="shared" si="24"/>
        <v>0</v>
      </c>
    </row>
    <row r="416" spans="1:143" ht="15" customHeight="1">
      <c r="A416" s="1556"/>
      <c r="B416" s="4693"/>
      <c r="C416" s="4943" t="s">
        <v>797</v>
      </c>
      <c r="D416" s="4943"/>
      <c r="E416" s="1916">
        <f t="shared" si="26"/>
        <v>0</v>
      </c>
      <c r="F416" s="1917">
        <f t="shared" si="26"/>
        <v>100000</v>
      </c>
      <c r="G416" s="1918">
        <f t="shared" si="26"/>
        <v>0</v>
      </c>
      <c r="H416" s="1716">
        <f t="shared" si="24"/>
        <v>0</v>
      </c>
    </row>
    <row r="417" spans="1:10" ht="42" customHeight="1">
      <c r="A417" s="1556"/>
      <c r="B417" s="4693"/>
      <c r="C417" s="1965" t="s">
        <v>353</v>
      </c>
      <c r="D417" s="1966" t="s">
        <v>849</v>
      </c>
      <c r="E417" s="1916">
        <v>0</v>
      </c>
      <c r="F417" s="1714">
        <v>100000</v>
      </c>
      <c r="G417" s="1715">
        <v>0</v>
      </c>
      <c r="H417" s="1716">
        <f t="shared" si="24"/>
        <v>0</v>
      </c>
    </row>
    <row r="418" spans="1:10" ht="15.75" customHeight="1">
      <c r="A418" s="1556"/>
      <c r="B418" s="4693"/>
      <c r="C418" s="1967"/>
      <c r="D418" s="1968"/>
      <c r="E418" s="1969"/>
      <c r="F418" s="1714"/>
      <c r="G418" s="1715"/>
      <c r="H418" s="1716"/>
    </row>
    <row r="419" spans="1:10" ht="13.5" customHeight="1">
      <c r="A419" s="1556"/>
      <c r="B419" s="4693"/>
      <c r="C419" s="4897" t="s">
        <v>744</v>
      </c>
      <c r="D419" s="4897"/>
      <c r="E419" s="1970">
        <f t="shared" ref="E419:G420" si="27">SUM(E420)</f>
        <v>200000</v>
      </c>
      <c r="F419" s="1418">
        <f t="shared" si="27"/>
        <v>307500</v>
      </c>
      <c r="G419" s="1926">
        <f t="shared" si="27"/>
        <v>0</v>
      </c>
      <c r="H419" s="1745">
        <f t="shared" ref="H419:H443" si="28">G419/F419</f>
        <v>0</v>
      </c>
    </row>
    <row r="420" spans="1:10" ht="13.5" customHeight="1">
      <c r="A420" s="1556"/>
      <c r="B420" s="4693"/>
      <c r="C420" s="4938" t="s">
        <v>745</v>
      </c>
      <c r="D420" s="4939"/>
      <c r="E420" s="1958">
        <f t="shared" si="27"/>
        <v>200000</v>
      </c>
      <c r="F420" s="1714">
        <f t="shared" si="27"/>
        <v>307500</v>
      </c>
      <c r="G420" s="1960">
        <f t="shared" si="27"/>
        <v>0</v>
      </c>
      <c r="H420" s="1716">
        <f t="shared" si="28"/>
        <v>0</v>
      </c>
    </row>
    <row r="421" spans="1:10" ht="21.75" customHeight="1" thickBot="1">
      <c r="A421" s="1556"/>
      <c r="B421" s="4940"/>
      <c r="C421" s="1971" t="s">
        <v>755</v>
      </c>
      <c r="D421" s="1962" t="s">
        <v>747</v>
      </c>
      <c r="E421" s="1801">
        <v>200000</v>
      </c>
      <c r="F421" s="1714">
        <v>307500</v>
      </c>
      <c r="G421" s="1715">
        <v>0</v>
      </c>
      <c r="H421" s="1754">
        <f t="shared" si="28"/>
        <v>0</v>
      </c>
    </row>
    <row r="422" spans="1:10" s="1622" customFormat="1" ht="18" customHeight="1" thickBot="1">
      <c r="A422" s="1631"/>
      <c r="B422" s="1624" t="s">
        <v>890</v>
      </c>
      <c r="C422" s="1972"/>
      <c r="D422" s="1626" t="s">
        <v>807</v>
      </c>
      <c r="E422" s="1973">
        <f>SUM(E431)</f>
        <v>78773155</v>
      </c>
      <c r="F422" s="1974">
        <f>SUM(F431)</f>
        <v>87925890</v>
      </c>
      <c r="G422" s="1975">
        <f>SUM(G431)</f>
        <v>0</v>
      </c>
      <c r="H422" s="1630">
        <f t="shared" si="28"/>
        <v>0</v>
      </c>
      <c r="J422" s="1370"/>
    </row>
    <row r="423" spans="1:10" s="1622" customFormat="1" ht="18" hidden="1" customHeight="1" thickBot="1">
      <c r="A423" s="1631"/>
      <c r="B423" s="1976"/>
      <c r="C423" s="4929" t="s">
        <v>688</v>
      </c>
      <c r="D423" s="4930"/>
      <c r="E423" s="1977">
        <f t="shared" ref="E423:G424" si="29">SUM(E424)</f>
        <v>0</v>
      </c>
      <c r="F423" s="1978">
        <f t="shared" si="29"/>
        <v>0</v>
      </c>
      <c r="G423" s="1979">
        <f t="shared" si="29"/>
        <v>0</v>
      </c>
      <c r="H423" s="1636" t="e">
        <f t="shared" si="28"/>
        <v>#DIV/0!</v>
      </c>
      <c r="J423" s="1370"/>
    </row>
    <row r="424" spans="1:10" s="1622" customFormat="1" ht="18" hidden="1" customHeight="1">
      <c r="A424" s="1631"/>
      <c r="B424" s="1980"/>
      <c r="C424" s="4931" t="s">
        <v>689</v>
      </c>
      <c r="D424" s="4932"/>
      <c r="E424" s="1981">
        <f t="shared" si="29"/>
        <v>0</v>
      </c>
      <c r="F424" s="1844">
        <f t="shared" si="29"/>
        <v>0</v>
      </c>
      <c r="G424" s="1982">
        <f t="shared" si="29"/>
        <v>0</v>
      </c>
      <c r="H424" s="1876" t="e">
        <f t="shared" si="28"/>
        <v>#DIV/0!</v>
      </c>
      <c r="J424" s="1370"/>
    </row>
    <row r="425" spans="1:10" s="1622" customFormat="1" ht="18" hidden="1" customHeight="1">
      <c r="A425" s="1631"/>
      <c r="B425" s="1983"/>
      <c r="C425" s="4933"/>
      <c r="D425" s="4933"/>
      <c r="E425" s="1984"/>
      <c r="F425" s="1985"/>
      <c r="G425" s="1986"/>
      <c r="H425" s="1876" t="e">
        <f t="shared" si="28"/>
        <v>#DIV/0!</v>
      </c>
      <c r="J425" s="1370"/>
    </row>
    <row r="426" spans="1:10" s="1622" customFormat="1" ht="18" hidden="1" customHeight="1">
      <c r="A426" s="1631"/>
      <c r="B426" s="1980"/>
      <c r="C426" s="4931" t="s">
        <v>704</v>
      </c>
      <c r="D426" s="4932"/>
      <c r="E426" s="1987">
        <v>0</v>
      </c>
      <c r="F426" s="1988">
        <v>0</v>
      </c>
      <c r="G426" s="1989">
        <v>0</v>
      </c>
      <c r="H426" s="1876" t="e">
        <f t="shared" si="28"/>
        <v>#DIV/0!</v>
      </c>
      <c r="J426" s="1370"/>
    </row>
    <row r="427" spans="1:10" s="1622" customFormat="1" ht="18" hidden="1" customHeight="1">
      <c r="A427" s="1631"/>
      <c r="B427" s="1980"/>
      <c r="C427" s="1990" t="s">
        <v>713</v>
      </c>
      <c r="D427" s="1991" t="s">
        <v>714</v>
      </c>
      <c r="E427" s="1987">
        <v>0</v>
      </c>
      <c r="F427" s="1988">
        <v>0</v>
      </c>
      <c r="G427" s="1989">
        <v>0</v>
      </c>
      <c r="H427" s="1876" t="e">
        <f t="shared" si="28"/>
        <v>#DIV/0!</v>
      </c>
      <c r="J427" s="1370"/>
    </row>
    <row r="428" spans="1:10" s="1622" customFormat="1" ht="18" hidden="1" customHeight="1">
      <c r="A428" s="1631"/>
      <c r="B428" s="1980"/>
      <c r="C428" s="1990"/>
      <c r="D428" s="1991"/>
      <c r="E428" s="1987"/>
      <c r="F428" s="1988"/>
      <c r="G428" s="1989"/>
      <c r="H428" s="1876" t="e">
        <f t="shared" si="28"/>
        <v>#DIV/0!</v>
      </c>
      <c r="J428" s="1370"/>
    </row>
    <row r="429" spans="1:10" s="1622" customFormat="1" ht="18" hidden="1" customHeight="1">
      <c r="A429" s="1631"/>
      <c r="B429" s="1983"/>
      <c r="C429" s="4934" t="s">
        <v>797</v>
      </c>
      <c r="D429" s="4935"/>
      <c r="E429" s="1987">
        <v>0</v>
      </c>
      <c r="F429" s="1988">
        <v>0</v>
      </c>
      <c r="G429" s="1989">
        <v>0</v>
      </c>
      <c r="H429" s="1876" t="e">
        <f t="shared" si="28"/>
        <v>#DIV/0!</v>
      </c>
      <c r="J429" s="1370"/>
    </row>
    <row r="430" spans="1:10" s="1622" customFormat="1" ht="43.5" hidden="1" customHeight="1">
      <c r="A430" s="1631"/>
      <c r="B430" s="1983"/>
      <c r="C430" s="1992" t="s">
        <v>353</v>
      </c>
      <c r="D430" s="1993" t="s">
        <v>849</v>
      </c>
      <c r="E430" s="1987">
        <v>0</v>
      </c>
      <c r="F430" s="1988">
        <v>0</v>
      </c>
      <c r="G430" s="1989">
        <v>0</v>
      </c>
      <c r="H430" s="1876" t="e">
        <f t="shared" si="28"/>
        <v>#DIV/0!</v>
      </c>
      <c r="J430" s="1370"/>
    </row>
    <row r="431" spans="1:10" s="1622" customFormat="1" ht="15.75" customHeight="1">
      <c r="A431" s="1631"/>
      <c r="B431" s="1653"/>
      <c r="C431" s="4936" t="s">
        <v>744</v>
      </c>
      <c r="D431" s="4936"/>
      <c r="E431" s="1977">
        <f t="shared" ref="E431:G432" si="30">SUM(E432)</f>
        <v>78773155</v>
      </c>
      <c r="F431" s="1978">
        <f t="shared" si="30"/>
        <v>87925890</v>
      </c>
      <c r="G431" s="1979">
        <f t="shared" si="30"/>
        <v>0</v>
      </c>
      <c r="H431" s="1876">
        <f t="shared" si="28"/>
        <v>0</v>
      </c>
      <c r="J431" s="1370"/>
    </row>
    <row r="432" spans="1:10" s="1622" customFormat="1" ht="15.75" customHeight="1">
      <c r="A432" s="1631"/>
      <c r="B432" s="1653"/>
      <c r="C432" s="4913" t="s">
        <v>745</v>
      </c>
      <c r="D432" s="4914"/>
      <c r="E432" s="1994">
        <f t="shared" si="30"/>
        <v>78773155</v>
      </c>
      <c r="F432" s="1995">
        <f t="shared" si="30"/>
        <v>87925890</v>
      </c>
      <c r="G432" s="1996">
        <f t="shared" si="30"/>
        <v>0</v>
      </c>
      <c r="H432" s="1846">
        <f t="shared" si="28"/>
        <v>0</v>
      </c>
      <c r="J432" s="1370"/>
    </row>
    <row r="433" spans="1:10" s="1622" customFormat="1" ht="15.75" customHeight="1" thickBot="1">
      <c r="A433" s="1631"/>
      <c r="B433" s="1653"/>
      <c r="C433" s="1997" t="s">
        <v>755</v>
      </c>
      <c r="D433" s="1998" t="s">
        <v>747</v>
      </c>
      <c r="E433" s="1999">
        <v>78773155</v>
      </c>
      <c r="F433" s="1844">
        <v>87925890</v>
      </c>
      <c r="G433" s="2000">
        <v>0</v>
      </c>
      <c r="H433" s="1846">
        <f t="shared" si="28"/>
        <v>0</v>
      </c>
      <c r="J433" s="1370"/>
    </row>
    <row r="434" spans="1:10" ht="42" hidden="1" customHeight="1" thickBot="1">
      <c r="A434" s="1556"/>
      <c r="B434" s="2001"/>
      <c r="C434" s="2002" t="s">
        <v>880</v>
      </c>
      <c r="D434" s="2003" t="s">
        <v>881</v>
      </c>
      <c r="E434" s="2004">
        <v>0</v>
      </c>
      <c r="F434" s="1737"/>
      <c r="G434" s="1948"/>
      <c r="H434" s="1957" t="e">
        <f t="shared" si="28"/>
        <v>#DIV/0!</v>
      </c>
    </row>
    <row r="435" spans="1:10" ht="18.75" customHeight="1" thickBot="1">
      <c r="A435" s="1556"/>
      <c r="B435" s="1624" t="s">
        <v>891</v>
      </c>
      <c r="C435" s="2005"/>
      <c r="D435" s="2006" t="s">
        <v>312</v>
      </c>
      <c r="E435" s="2007">
        <f>SUM(E436,E453)</f>
        <v>795603</v>
      </c>
      <c r="F435" s="2008">
        <f>SUM(F436,F453)</f>
        <v>8795703</v>
      </c>
      <c r="G435" s="2009">
        <f>SUM(G436,G453)</f>
        <v>832605</v>
      </c>
      <c r="H435" s="1630">
        <f t="shared" si="28"/>
        <v>9.4660426801587094E-2</v>
      </c>
    </row>
    <row r="436" spans="1:10" ht="17.100000000000001" customHeight="1">
      <c r="A436" s="1556"/>
      <c r="B436" s="4915"/>
      <c r="C436" s="4918" t="s">
        <v>688</v>
      </c>
      <c r="D436" s="4718"/>
      <c r="E436" s="2010">
        <f>SUM(E437)</f>
        <v>795603</v>
      </c>
      <c r="F436" s="1681">
        <f>SUM(F437)</f>
        <v>795603</v>
      </c>
      <c r="G436" s="1682">
        <f>SUM(G437)</f>
        <v>832605</v>
      </c>
      <c r="H436" s="1636">
        <f t="shared" si="28"/>
        <v>1.0465081202559567</v>
      </c>
    </row>
    <row r="437" spans="1:10" ht="17.100000000000001" customHeight="1">
      <c r="A437" s="1556"/>
      <c r="B437" s="4916"/>
      <c r="C437" s="4919" t="s">
        <v>689</v>
      </c>
      <c r="D437" s="4920"/>
      <c r="E437" s="1981">
        <f>SUM(E438,E445)</f>
        <v>795603</v>
      </c>
      <c r="F437" s="1844">
        <f>SUM(F438,F445)</f>
        <v>795603</v>
      </c>
      <c r="G437" s="1982">
        <f>SUM(G438,G445)</f>
        <v>832605</v>
      </c>
      <c r="H437" s="1846">
        <f t="shared" si="28"/>
        <v>1.0465081202559567</v>
      </c>
    </row>
    <row r="438" spans="1:10" ht="17.100000000000001" customHeight="1">
      <c r="A438" s="1556"/>
      <c r="B438" s="4916"/>
      <c r="C438" s="4921" t="s">
        <v>690</v>
      </c>
      <c r="D438" s="4922"/>
      <c r="E438" s="2011">
        <f>SUM(E439:E443)</f>
        <v>630603</v>
      </c>
      <c r="F438" s="1848">
        <f>SUM(F439:F443)</f>
        <v>630603</v>
      </c>
      <c r="G438" s="2012">
        <f>SUM(G439:G443)</f>
        <v>659605</v>
      </c>
      <c r="H438" s="1850">
        <f t="shared" si="28"/>
        <v>1.0459909007727524</v>
      </c>
      <c r="J438" s="1370" t="s">
        <v>809</v>
      </c>
    </row>
    <row r="439" spans="1:10" ht="17.100000000000001" customHeight="1">
      <c r="A439" s="1556"/>
      <c r="B439" s="4916"/>
      <c r="C439" s="2013" t="s">
        <v>692</v>
      </c>
      <c r="D439" s="2014" t="s">
        <v>693</v>
      </c>
      <c r="E439" s="1981">
        <v>491976</v>
      </c>
      <c r="F439" s="1844">
        <v>491976</v>
      </c>
      <c r="G439" s="2015">
        <v>515390</v>
      </c>
      <c r="H439" s="1846">
        <f t="shared" si="28"/>
        <v>1.0475917524432086</v>
      </c>
    </row>
    <row r="440" spans="1:10" ht="17.100000000000001" customHeight="1">
      <c r="A440" s="1556"/>
      <c r="B440" s="4916"/>
      <c r="C440" s="2013" t="s">
        <v>694</v>
      </c>
      <c r="D440" s="2014" t="s">
        <v>695</v>
      </c>
      <c r="E440" s="1981">
        <v>35109</v>
      </c>
      <c r="F440" s="1844">
        <v>35109</v>
      </c>
      <c r="G440" s="2015">
        <v>38620</v>
      </c>
      <c r="H440" s="1846">
        <f t="shared" si="28"/>
        <v>1.1000028482725228</v>
      </c>
    </row>
    <row r="441" spans="1:10" ht="17.100000000000001" customHeight="1">
      <c r="A441" s="1556"/>
      <c r="B441" s="4916"/>
      <c r="C441" s="2013" t="s">
        <v>696</v>
      </c>
      <c r="D441" s="2014" t="s">
        <v>697</v>
      </c>
      <c r="E441" s="1981">
        <v>90602</v>
      </c>
      <c r="F441" s="1844">
        <v>88602</v>
      </c>
      <c r="G441" s="2015">
        <v>90267</v>
      </c>
      <c r="H441" s="1846">
        <f t="shared" si="28"/>
        <v>1.0187919008600257</v>
      </c>
    </row>
    <row r="442" spans="1:10" ht="16.5" customHeight="1">
      <c r="A442" s="1556"/>
      <c r="B442" s="4916"/>
      <c r="C442" s="2013" t="s">
        <v>698</v>
      </c>
      <c r="D442" s="2014" t="s">
        <v>699</v>
      </c>
      <c r="E442" s="1981">
        <v>12916</v>
      </c>
      <c r="F442" s="1844">
        <v>12916</v>
      </c>
      <c r="G442" s="2015">
        <v>15027</v>
      </c>
      <c r="H442" s="1846">
        <f t="shared" si="28"/>
        <v>1.163440693713224</v>
      </c>
    </row>
    <row r="443" spans="1:10" ht="16.5" customHeight="1">
      <c r="A443" s="1556"/>
      <c r="B443" s="4916"/>
      <c r="C443" s="2013" t="s">
        <v>702</v>
      </c>
      <c r="D443" s="2016" t="s">
        <v>703</v>
      </c>
      <c r="E443" s="1843">
        <v>0</v>
      </c>
      <c r="F443" s="1844">
        <v>2000</v>
      </c>
      <c r="G443" s="2015">
        <v>301</v>
      </c>
      <c r="H443" s="1846">
        <f t="shared" si="28"/>
        <v>0.15049999999999999</v>
      </c>
    </row>
    <row r="444" spans="1:10" ht="15" customHeight="1">
      <c r="A444" s="1556"/>
      <c r="B444" s="4916"/>
      <c r="C444" s="2017"/>
      <c r="D444" s="2018"/>
      <c r="E444" s="1843"/>
      <c r="F444" s="1844"/>
      <c r="G444" s="2019"/>
      <c r="H444" s="1846"/>
    </row>
    <row r="445" spans="1:10" ht="17.100000000000001" customHeight="1">
      <c r="A445" s="1556"/>
      <c r="B445" s="4916"/>
      <c r="C445" s="4923" t="s">
        <v>704</v>
      </c>
      <c r="D445" s="4924"/>
      <c r="E445" s="1847">
        <f>SUM(E447)</f>
        <v>165000</v>
      </c>
      <c r="F445" s="1848">
        <f>SUM(F447)</f>
        <v>165000</v>
      </c>
      <c r="G445" s="2012">
        <f>SUM(G447)</f>
        <v>173000</v>
      </c>
      <c r="H445" s="1850">
        <f t="shared" ref="H445:H451" si="31">G445/F445</f>
        <v>1.0484848484848486</v>
      </c>
    </row>
    <row r="446" spans="1:10" ht="17.100000000000001" hidden="1" customHeight="1">
      <c r="A446" s="1556"/>
      <c r="B446" s="4916"/>
      <c r="C446" s="1873" t="s">
        <v>705</v>
      </c>
      <c r="D446" s="1888" t="s">
        <v>706</v>
      </c>
      <c r="E446" s="1843">
        <v>0</v>
      </c>
      <c r="F446" s="1844"/>
      <c r="G446" s="2019"/>
      <c r="H446" s="1846" t="e">
        <f t="shared" si="31"/>
        <v>#DIV/0!</v>
      </c>
    </row>
    <row r="447" spans="1:10" ht="17.100000000000001" customHeight="1">
      <c r="A447" s="1556"/>
      <c r="B447" s="4916"/>
      <c r="C447" s="1873" t="s">
        <v>717</v>
      </c>
      <c r="D447" s="1888" t="s">
        <v>718</v>
      </c>
      <c r="E447" s="1843">
        <v>165000</v>
      </c>
      <c r="F447" s="1844">
        <v>165000</v>
      </c>
      <c r="G447" s="2019">
        <v>173000</v>
      </c>
      <c r="H447" s="1846">
        <f t="shared" si="31"/>
        <v>1.0484848484848486</v>
      </c>
      <c r="J447" s="1370" t="s">
        <v>845</v>
      </c>
    </row>
    <row r="448" spans="1:10" ht="17.100000000000001" hidden="1" customHeight="1">
      <c r="A448" s="1556"/>
      <c r="B448" s="4916"/>
      <c r="C448" s="1873" t="s">
        <v>729</v>
      </c>
      <c r="D448" s="1888" t="s">
        <v>730</v>
      </c>
      <c r="E448" s="1843">
        <v>0</v>
      </c>
      <c r="F448" s="1844"/>
      <c r="G448" s="2019"/>
      <c r="H448" s="1846" t="e">
        <f t="shared" si="31"/>
        <v>#DIV/0!</v>
      </c>
    </row>
    <row r="449" spans="1:10" ht="17.100000000000001" hidden="1" customHeight="1">
      <c r="A449" s="1556"/>
      <c r="B449" s="4916"/>
      <c r="C449" s="1873"/>
      <c r="D449" s="1888"/>
      <c r="E449" s="1843"/>
      <c r="F449" s="1844"/>
      <c r="G449" s="2019"/>
      <c r="H449" s="1846" t="e">
        <f t="shared" si="31"/>
        <v>#DIV/0!</v>
      </c>
    </row>
    <row r="450" spans="1:10" ht="17.100000000000001" hidden="1" customHeight="1">
      <c r="A450" s="1556"/>
      <c r="B450" s="4916"/>
      <c r="C450" s="4908" t="s">
        <v>797</v>
      </c>
      <c r="D450" s="4909"/>
      <c r="E450" s="2020">
        <v>0</v>
      </c>
      <c r="F450" s="1844"/>
      <c r="G450" s="2019"/>
      <c r="H450" s="1846" t="e">
        <f t="shared" si="31"/>
        <v>#DIV/0!</v>
      </c>
    </row>
    <row r="451" spans="1:10" ht="27" hidden="1" customHeight="1">
      <c r="A451" s="1556"/>
      <c r="B451" s="4916"/>
      <c r="C451" s="2021" t="s">
        <v>353</v>
      </c>
      <c r="D451" s="2022" t="s">
        <v>849</v>
      </c>
      <c r="E451" s="2020">
        <v>0</v>
      </c>
      <c r="F451" s="1844"/>
      <c r="G451" s="2019"/>
      <c r="H451" s="1846" t="e">
        <f t="shared" si="31"/>
        <v>#DIV/0!</v>
      </c>
    </row>
    <row r="452" spans="1:10" ht="12.75" customHeight="1">
      <c r="A452" s="1556"/>
      <c r="B452" s="4916"/>
      <c r="C452" s="2023"/>
      <c r="D452" s="2024"/>
      <c r="E452" s="2020"/>
      <c r="F452" s="1844"/>
      <c r="G452" s="2019"/>
      <c r="H452" s="1846"/>
    </row>
    <row r="453" spans="1:10" ht="17.100000000000001" customHeight="1">
      <c r="A453" s="1556"/>
      <c r="B453" s="4916"/>
      <c r="C453" s="4925" t="s">
        <v>744</v>
      </c>
      <c r="D453" s="4926"/>
      <c r="E453" s="2025">
        <f>SUM(E457)</f>
        <v>0</v>
      </c>
      <c r="F453" s="2026">
        <f>SUM(F457)</f>
        <v>8000100</v>
      </c>
      <c r="G453" s="2027">
        <f>SUM(G457)</f>
        <v>0</v>
      </c>
      <c r="H453" s="1876">
        <f t="shared" ref="H453:H467" si="32">G453/F453</f>
        <v>0</v>
      </c>
    </row>
    <row r="454" spans="1:10" ht="17.100000000000001" hidden="1" customHeight="1">
      <c r="A454" s="1556"/>
      <c r="B454" s="4916"/>
      <c r="C454" s="4908" t="s">
        <v>885</v>
      </c>
      <c r="D454" s="4909"/>
      <c r="E454" s="1843">
        <v>0</v>
      </c>
      <c r="F454" s="1844">
        <v>0</v>
      </c>
      <c r="G454" s="1982">
        <v>0</v>
      </c>
      <c r="H454" s="1846" t="e">
        <f t="shared" si="32"/>
        <v>#DIV/0!</v>
      </c>
    </row>
    <row r="455" spans="1:10" ht="42.75" hidden="1" customHeight="1">
      <c r="A455" s="1556"/>
      <c r="B455" s="4916"/>
      <c r="C455" s="1873" t="s">
        <v>880</v>
      </c>
      <c r="D455" s="1888" t="s">
        <v>881</v>
      </c>
      <c r="E455" s="1843">
        <v>0</v>
      </c>
      <c r="F455" s="1844">
        <v>0</v>
      </c>
      <c r="G455" s="1982">
        <v>0</v>
      </c>
      <c r="H455" s="1846" t="e">
        <f t="shared" si="32"/>
        <v>#DIV/0!</v>
      </c>
    </row>
    <row r="456" spans="1:10" ht="18" hidden="1" customHeight="1">
      <c r="A456" s="1556"/>
      <c r="B456" s="4916"/>
      <c r="C456" s="4927"/>
      <c r="D456" s="4928"/>
      <c r="E456" s="1843"/>
      <c r="F456" s="1844"/>
      <c r="G456" s="1982"/>
      <c r="H456" s="1846" t="e">
        <f t="shared" si="32"/>
        <v>#DIV/0!</v>
      </c>
    </row>
    <row r="457" spans="1:10" ht="18" customHeight="1">
      <c r="A457" s="1556"/>
      <c r="B457" s="4916"/>
      <c r="C457" s="4908" t="s">
        <v>892</v>
      </c>
      <c r="D457" s="4909"/>
      <c r="E457" s="2028">
        <f>SUM(E458)</f>
        <v>0</v>
      </c>
      <c r="F457" s="2029">
        <f>SUM(F458)</f>
        <v>8000100</v>
      </c>
      <c r="G457" s="2030">
        <f>SUM(G458)</f>
        <v>0</v>
      </c>
      <c r="H457" s="1846">
        <f t="shared" si="32"/>
        <v>0</v>
      </c>
    </row>
    <row r="458" spans="1:10" ht="40.5" customHeight="1" thickBot="1">
      <c r="A458" s="1797"/>
      <c r="B458" s="4917"/>
      <c r="C458" s="2031" t="s">
        <v>893</v>
      </c>
      <c r="D458" s="2032" t="s">
        <v>894</v>
      </c>
      <c r="E458" s="2033">
        <v>0</v>
      </c>
      <c r="F458" s="1676">
        <v>8000100</v>
      </c>
      <c r="G458" s="2034">
        <v>0</v>
      </c>
      <c r="H458" s="1678">
        <f t="shared" si="32"/>
        <v>0</v>
      </c>
    </row>
    <row r="459" spans="1:10" s="1370" customFormat="1" ht="17.100000000000001" customHeight="1" thickBot="1">
      <c r="A459" s="1595" t="s">
        <v>895</v>
      </c>
      <c r="B459" s="1596"/>
      <c r="C459" s="1597"/>
      <c r="D459" s="1598" t="s">
        <v>896</v>
      </c>
      <c r="E459" s="1599">
        <v>6044960</v>
      </c>
      <c r="F459" s="1600">
        <f>SUM(F460,F495)</f>
        <v>3011848</v>
      </c>
      <c r="G459" s="1600">
        <f>SUM(G460,G495)</f>
        <v>3377707</v>
      </c>
      <c r="H459" s="1602">
        <f t="shared" si="32"/>
        <v>1.121473261598859</v>
      </c>
    </row>
    <row r="460" spans="1:10" s="1370" customFormat="1" ht="17.100000000000001" customHeight="1" thickBot="1">
      <c r="A460" s="1408"/>
      <c r="B460" s="1500" t="s">
        <v>897</v>
      </c>
      <c r="C460" s="1501"/>
      <c r="D460" s="1502" t="s">
        <v>393</v>
      </c>
      <c r="E460" s="1503">
        <v>2445100</v>
      </c>
      <c r="F460" s="1504">
        <f>SUM(F461)</f>
        <v>2445100</v>
      </c>
      <c r="G460" s="1504">
        <f>SUM(G461)</f>
        <v>2790565</v>
      </c>
      <c r="H460" s="1506">
        <f t="shared" si="32"/>
        <v>1.1412886998486769</v>
      </c>
      <c r="J460" s="1370" t="s">
        <v>898</v>
      </c>
    </row>
    <row r="461" spans="1:10" s="1370" customFormat="1" ht="17.100000000000001" customHeight="1">
      <c r="A461" s="1408"/>
      <c r="B461" s="1429"/>
      <c r="C461" s="4880" t="s">
        <v>688</v>
      </c>
      <c r="D461" s="4880"/>
      <c r="E461" s="1970">
        <v>2445100</v>
      </c>
      <c r="F461" s="1418">
        <f>SUM(F462,F469)</f>
        <v>2445100</v>
      </c>
      <c r="G461" s="1418">
        <f>SUM(G462,G469)</f>
        <v>2790565</v>
      </c>
      <c r="H461" s="1509">
        <f t="shared" si="32"/>
        <v>1.1412886998486769</v>
      </c>
    </row>
    <row r="462" spans="1:10" s="1370" customFormat="1" ht="17.100000000000001" customHeight="1">
      <c r="A462" s="1408"/>
      <c r="B462" s="1429"/>
      <c r="C462" s="4910" t="s">
        <v>689</v>
      </c>
      <c r="D462" s="4910"/>
      <c r="E462" s="1713">
        <v>1019100</v>
      </c>
      <c r="F462" s="1714">
        <f>SUM(F463)</f>
        <v>1019100</v>
      </c>
      <c r="G462" s="1714">
        <f>SUM(G463)</f>
        <v>1221965</v>
      </c>
      <c r="H462" s="1716">
        <f t="shared" si="32"/>
        <v>1.1990628986360514</v>
      </c>
    </row>
    <row r="463" spans="1:10" s="1370" customFormat="1" ht="17.100000000000001" customHeight="1">
      <c r="A463" s="1408"/>
      <c r="B463" s="1429"/>
      <c r="C463" s="4911" t="s">
        <v>704</v>
      </c>
      <c r="D463" s="4911"/>
      <c r="E463" s="1782">
        <v>1019100</v>
      </c>
      <c r="F463" s="1783">
        <f>SUM(F464:F467)</f>
        <v>1019100</v>
      </c>
      <c r="G463" s="1783">
        <f>SUM(G464:G467)</f>
        <v>1221965</v>
      </c>
      <c r="H463" s="1785">
        <f t="shared" si="32"/>
        <v>1.1990628986360514</v>
      </c>
    </row>
    <row r="464" spans="1:10" s="1370" customFormat="1" ht="17.100000000000001" customHeight="1">
      <c r="A464" s="1408"/>
      <c r="B464" s="1429"/>
      <c r="C464" s="2035" t="s">
        <v>707</v>
      </c>
      <c r="D464" s="2036" t="s">
        <v>708</v>
      </c>
      <c r="E464" s="1713">
        <v>119100</v>
      </c>
      <c r="F464" s="1714">
        <v>119100</v>
      </c>
      <c r="G464" s="2037">
        <v>171965</v>
      </c>
      <c r="H464" s="1716">
        <f t="shared" si="32"/>
        <v>1.443870696893367</v>
      </c>
    </row>
    <row r="465" spans="1:8" s="1370" customFormat="1" ht="17.100000000000001" customHeight="1">
      <c r="A465" s="1408"/>
      <c r="B465" s="1429"/>
      <c r="C465" s="2035" t="s">
        <v>717</v>
      </c>
      <c r="D465" s="2036" t="s">
        <v>718</v>
      </c>
      <c r="E465" s="1713">
        <v>400000</v>
      </c>
      <c r="F465" s="1714">
        <v>400000</v>
      </c>
      <c r="G465" s="2037">
        <v>300000</v>
      </c>
      <c r="H465" s="1716">
        <f t="shared" si="32"/>
        <v>0.75</v>
      </c>
    </row>
    <row r="466" spans="1:8" s="1370" customFormat="1" ht="17.100000000000001" hidden="1" customHeight="1">
      <c r="A466" s="1408"/>
      <c r="B466" s="1429"/>
      <c r="C466" s="2035" t="s">
        <v>721</v>
      </c>
      <c r="D466" s="2036" t="s">
        <v>722</v>
      </c>
      <c r="E466" s="1713">
        <v>0</v>
      </c>
      <c r="F466" s="1714"/>
      <c r="G466" s="2037"/>
      <c r="H466" s="1716" t="e">
        <f t="shared" si="32"/>
        <v>#DIV/0!</v>
      </c>
    </row>
    <row r="467" spans="1:8" s="1370" customFormat="1" ht="17.100000000000001" customHeight="1">
      <c r="A467" s="1408"/>
      <c r="B467" s="1429"/>
      <c r="C467" s="2038" t="s">
        <v>727</v>
      </c>
      <c r="D467" s="2039" t="s">
        <v>728</v>
      </c>
      <c r="E467" s="1713">
        <v>500000</v>
      </c>
      <c r="F467" s="1714">
        <v>500000</v>
      </c>
      <c r="G467" s="2037">
        <v>750000</v>
      </c>
      <c r="H467" s="1716">
        <f t="shared" si="32"/>
        <v>1.5</v>
      </c>
    </row>
    <row r="468" spans="1:8" s="1370" customFormat="1" ht="17.100000000000001" customHeight="1" thickBot="1">
      <c r="A468" s="1516"/>
      <c r="B468" s="1591"/>
      <c r="C468" s="2040"/>
      <c r="D468" s="2041"/>
      <c r="E468" s="1464"/>
      <c r="F468" s="1538"/>
      <c r="G468" s="1539"/>
      <c r="H468" s="1540"/>
    </row>
    <row r="469" spans="1:8" s="1370" customFormat="1" ht="17.100000000000001" customHeight="1">
      <c r="A469" s="1585"/>
      <c r="B469" s="1524"/>
      <c r="C469" s="4912" t="s">
        <v>797</v>
      </c>
      <c r="D469" s="4912"/>
      <c r="E469" s="1527">
        <v>1426000</v>
      </c>
      <c r="F469" s="1528">
        <f>SUM(F470)</f>
        <v>1426000</v>
      </c>
      <c r="G469" s="1528">
        <f>SUM(G470)</f>
        <v>1568600</v>
      </c>
      <c r="H469" s="1530">
        <f t="shared" ref="H469:H504" si="33">G469/F469</f>
        <v>1.1000000000000001</v>
      </c>
    </row>
    <row r="470" spans="1:8" s="1370" customFormat="1" ht="57.75" customHeight="1" thickBot="1">
      <c r="A470" s="1408"/>
      <c r="B470" s="1429"/>
      <c r="C470" s="2038" t="s">
        <v>374</v>
      </c>
      <c r="D470" s="2039" t="s">
        <v>899</v>
      </c>
      <c r="E470" s="1713">
        <v>1426000</v>
      </c>
      <c r="F470" s="1714">
        <v>1426000</v>
      </c>
      <c r="G470" s="2037">
        <v>1568600</v>
      </c>
      <c r="H470" s="1716">
        <f t="shared" si="33"/>
        <v>1.1000000000000001</v>
      </c>
    </row>
    <row r="471" spans="1:8" s="1370" customFormat="1" ht="13.5" hidden="1" thickBot="1">
      <c r="A471" s="1408"/>
      <c r="B471" s="1429"/>
      <c r="C471" s="2042"/>
      <c r="D471" s="2043"/>
      <c r="E471" s="1713"/>
      <c r="F471" s="1714"/>
      <c r="G471" s="2037"/>
      <c r="H471" s="1716" t="e">
        <f t="shared" si="33"/>
        <v>#DIV/0!</v>
      </c>
    </row>
    <row r="472" spans="1:8" s="1370" customFormat="1" ht="18" hidden="1" customHeight="1" thickBot="1">
      <c r="A472" s="1408"/>
      <c r="B472" s="1429"/>
      <c r="C472" s="4910" t="s">
        <v>761</v>
      </c>
      <c r="D472" s="4910"/>
      <c r="E472" s="1713">
        <v>0</v>
      </c>
      <c r="F472" s="1714"/>
      <c r="G472" s="2037"/>
      <c r="H472" s="1716" t="e">
        <f t="shared" si="33"/>
        <v>#DIV/0!</v>
      </c>
    </row>
    <row r="473" spans="1:8" s="1370" customFormat="1" ht="18" hidden="1" customHeight="1" thickBot="1">
      <c r="A473" s="1408"/>
      <c r="B473" s="1429"/>
      <c r="C473" s="2038" t="s">
        <v>766</v>
      </c>
      <c r="D473" s="2039" t="s">
        <v>693</v>
      </c>
      <c r="E473" s="1713">
        <v>0</v>
      </c>
      <c r="F473" s="1714"/>
      <c r="G473" s="2037"/>
      <c r="H473" s="1716" t="e">
        <f t="shared" si="33"/>
        <v>#DIV/0!</v>
      </c>
    </row>
    <row r="474" spans="1:8" s="1370" customFormat="1" ht="18" hidden="1" customHeight="1" thickBot="1">
      <c r="A474" s="1408"/>
      <c r="B474" s="1429"/>
      <c r="C474" s="2038" t="s">
        <v>767</v>
      </c>
      <c r="D474" s="2039" t="s">
        <v>693</v>
      </c>
      <c r="E474" s="1713">
        <v>0</v>
      </c>
      <c r="F474" s="1714"/>
      <c r="G474" s="2037"/>
      <c r="H474" s="1716" t="e">
        <f t="shared" si="33"/>
        <v>#DIV/0!</v>
      </c>
    </row>
    <row r="475" spans="1:8" s="1370" customFormat="1" ht="18" hidden="1" customHeight="1" thickBot="1">
      <c r="A475" s="1408"/>
      <c r="B475" s="1429"/>
      <c r="C475" s="2038" t="s">
        <v>770</v>
      </c>
      <c r="D475" s="2039" t="s">
        <v>697</v>
      </c>
      <c r="E475" s="1713">
        <v>0</v>
      </c>
      <c r="F475" s="1714"/>
      <c r="G475" s="2037"/>
      <c r="H475" s="1716" t="e">
        <f t="shared" si="33"/>
        <v>#DIV/0!</v>
      </c>
    </row>
    <row r="476" spans="1:8" s="1370" customFormat="1" ht="18" hidden="1" customHeight="1" thickBot="1">
      <c r="A476" s="1408"/>
      <c r="B476" s="1429"/>
      <c r="C476" s="2038" t="s">
        <v>771</v>
      </c>
      <c r="D476" s="2039" t="s">
        <v>697</v>
      </c>
      <c r="E476" s="1713">
        <v>0</v>
      </c>
      <c r="F476" s="1714"/>
      <c r="G476" s="2037"/>
      <c r="H476" s="1716" t="e">
        <f t="shared" si="33"/>
        <v>#DIV/0!</v>
      </c>
    </row>
    <row r="477" spans="1:8" s="1370" customFormat="1" ht="28.5" hidden="1" customHeight="1" thickBot="1">
      <c r="A477" s="1408"/>
      <c r="B477" s="1429"/>
      <c r="C477" s="2038" t="s">
        <v>772</v>
      </c>
      <c r="D477" s="2039" t="s">
        <v>831</v>
      </c>
      <c r="E477" s="1713">
        <v>0</v>
      </c>
      <c r="F477" s="1714"/>
      <c r="G477" s="2037"/>
      <c r="H477" s="1716" t="e">
        <f t="shared" si="33"/>
        <v>#DIV/0!</v>
      </c>
    </row>
    <row r="478" spans="1:8" s="1370" customFormat="1" ht="28.5" hidden="1" customHeight="1" thickBot="1">
      <c r="A478" s="1408"/>
      <c r="B478" s="1429"/>
      <c r="C478" s="2038" t="s">
        <v>773</v>
      </c>
      <c r="D478" s="2039" t="s">
        <v>831</v>
      </c>
      <c r="E478" s="1713">
        <v>0</v>
      </c>
      <c r="F478" s="1714"/>
      <c r="G478" s="2037"/>
      <c r="H478" s="1716" t="e">
        <f t="shared" si="33"/>
        <v>#DIV/0!</v>
      </c>
    </row>
    <row r="479" spans="1:8" s="1370" customFormat="1" ht="28.5" hidden="1" customHeight="1" thickBot="1">
      <c r="A479" s="1408"/>
      <c r="B479" s="1429"/>
      <c r="C479" s="2038" t="s">
        <v>779</v>
      </c>
      <c r="D479" s="2036" t="s">
        <v>708</v>
      </c>
      <c r="E479" s="1713">
        <v>0</v>
      </c>
      <c r="F479" s="1714"/>
      <c r="G479" s="2037"/>
      <c r="H479" s="1716" t="e">
        <f t="shared" si="33"/>
        <v>#DIV/0!</v>
      </c>
    </row>
    <row r="480" spans="1:8" s="1370" customFormat="1" ht="28.5" hidden="1" customHeight="1" thickBot="1">
      <c r="A480" s="1408"/>
      <c r="B480" s="1429"/>
      <c r="C480" s="2038" t="s">
        <v>780</v>
      </c>
      <c r="D480" s="2036" t="s">
        <v>708</v>
      </c>
      <c r="E480" s="1713">
        <v>0</v>
      </c>
      <c r="F480" s="1714"/>
      <c r="G480" s="2037"/>
      <c r="H480" s="1716" t="e">
        <f t="shared" si="33"/>
        <v>#DIV/0!</v>
      </c>
    </row>
    <row r="481" spans="1:8" s="1370" customFormat="1" ht="18" hidden="1" customHeight="1" thickBot="1">
      <c r="A481" s="1408"/>
      <c r="B481" s="1429"/>
      <c r="C481" s="2038" t="s">
        <v>783</v>
      </c>
      <c r="D481" s="2039" t="s">
        <v>718</v>
      </c>
      <c r="E481" s="1713">
        <v>0</v>
      </c>
      <c r="F481" s="1714"/>
      <c r="G481" s="2037"/>
      <c r="H481" s="1716" t="e">
        <f t="shared" si="33"/>
        <v>#DIV/0!</v>
      </c>
    </row>
    <row r="482" spans="1:8" s="1370" customFormat="1" ht="18" hidden="1" customHeight="1" thickBot="1">
      <c r="A482" s="1408"/>
      <c r="B482" s="1429"/>
      <c r="C482" s="2038" t="s">
        <v>784</v>
      </c>
      <c r="D482" s="2039" t="s">
        <v>718</v>
      </c>
      <c r="E482" s="1713">
        <v>0</v>
      </c>
      <c r="F482" s="1714"/>
      <c r="G482" s="2037"/>
      <c r="H482" s="1716" t="e">
        <f t="shared" si="33"/>
        <v>#DIV/0!</v>
      </c>
    </row>
    <row r="483" spans="1:8" s="1370" customFormat="1" ht="18" hidden="1" customHeight="1" thickBot="1">
      <c r="A483" s="1408"/>
      <c r="B483" s="1429"/>
      <c r="C483" s="2044" t="s">
        <v>900</v>
      </c>
      <c r="D483" s="2039" t="s">
        <v>901</v>
      </c>
      <c r="E483" s="1713">
        <v>0</v>
      </c>
      <c r="F483" s="1714"/>
      <c r="G483" s="2037"/>
      <c r="H483" s="1716" t="e">
        <f t="shared" si="33"/>
        <v>#DIV/0!</v>
      </c>
    </row>
    <row r="484" spans="1:8" s="1370" customFormat="1" ht="18" hidden="1" customHeight="1" thickBot="1">
      <c r="A484" s="1408"/>
      <c r="B484" s="1429"/>
      <c r="C484" s="2038" t="s">
        <v>902</v>
      </c>
      <c r="D484" s="2039" t="s">
        <v>901</v>
      </c>
      <c r="E484" s="1713">
        <v>0</v>
      </c>
      <c r="F484" s="1714"/>
      <c r="G484" s="2037"/>
      <c r="H484" s="1716" t="e">
        <f t="shared" si="33"/>
        <v>#DIV/0!</v>
      </c>
    </row>
    <row r="485" spans="1:8" s="1370" customFormat="1" ht="18" hidden="1" customHeight="1" thickBot="1">
      <c r="A485" s="1408"/>
      <c r="B485" s="1429"/>
      <c r="C485" s="2038" t="s">
        <v>903</v>
      </c>
      <c r="D485" s="2039" t="s">
        <v>901</v>
      </c>
      <c r="E485" s="1713">
        <v>0</v>
      </c>
      <c r="F485" s="1714"/>
      <c r="G485" s="2037"/>
      <c r="H485" s="1716" t="e">
        <f t="shared" si="33"/>
        <v>#DIV/0!</v>
      </c>
    </row>
    <row r="486" spans="1:8" s="1370" customFormat="1" ht="18" hidden="1" customHeight="1" thickBot="1">
      <c r="A486" s="1408"/>
      <c r="B486" s="1429"/>
      <c r="C486" s="2038" t="s">
        <v>786</v>
      </c>
      <c r="D486" s="2039" t="s">
        <v>722</v>
      </c>
      <c r="E486" s="1713">
        <v>0</v>
      </c>
      <c r="F486" s="1714"/>
      <c r="G486" s="2037"/>
      <c r="H486" s="1716" t="e">
        <f t="shared" si="33"/>
        <v>#DIV/0!</v>
      </c>
    </row>
    <row r="487" spans="1:8" s="1370" customFormat="1" ht="18" hidden="1" customHeight="1" thickBot="1">
      <c r="A487" s="1408"/>
      <c r="B487" s="1429"/>
      <c r="C487" s="2038" t="s">
        <v>787</v>
      </c>
      <c r="D487" s="2039" t="s">
        <v>726</v>
      </c>
      <c r="E487" s="1713">
        <v>0</v>
      </c>
      <c r="F487" s="1714"/>
      <c r="G487" s="2037"/>
      <c r="H487" s="1716" t="e">
        <f t="shared" si="33"/>
        <v>#DIV/0!</v>
      </c>
    </row>
    <row r="488" spans="1:8" s="1370" customFormat="1" ht="18" hidden="1" customHeight="1" thickBot="1">
      <c r="A488" s="1408"/>
      <c r="B488" s="1429"/>
      <c r="C488" s="2038" t="s">
        <v>788</v>
      </c>
      <c r="D488" s="2039" t="s">
        <v>726</v>
      </c>
      <c r="E488" s="1713">
        <v>0</v>
      </c>
      <c r="F488" s="1714"/>
      <c r="G488" s="2037"/>
      <c r="H488" s="1716" t="e">
        <f t="shared" si="33"/>
        <v>#DIV/0!</v>
      </c>
    </row>
    <row r="489" spans="1:8" s="1370" customFormat="1" ht="18" hidden="1" customHeight="1" thickBot="1">
      <c r="A489" s="1408"/>
      <c r="B489" s="1429"/>
      <c r="C489" s="2038" t="s">
        <v>904</v>
      </c>
      <c r="D489" s="2039" t="s">
        <v>866</v>
      </c>
      <c r="E489" s="1713">
        <v>0</v>
      </c>
      <c r="F489" s="1714"/>
      <c r="G489" s="2037"/>
      <c r="H489" s="1716" t="e">
        <f t="shared" si="33"/>
        <v>#DIV/0!</v>
      </c>
    </row>
    <row r="490" spans="1:8" s="1370" customFormat="1" ht="18" hidden="1" customHeight="1" thickBot="1">
      <c r="A490" s="1408"/>
      <c r="B490" s="1429"/>
      <c r="C490" s="2038" t="s">
        <v>905</v>
      </c>
      <c r="D490" s="2039" t="s">
        <v>866</v>
      </c>
      <c r="E490" s="1713">
        <v>0</v>
      </c>
      <c r="F490" s="1714"/>
      <c r="G490" s="2037"/>
      <c r="H490" s="1716" t="e">
        <f t="shared" si="33"/>
        <v>#DIV/0!</v>
      </c>
    </row>
    <row r="491" spans="1:8" s="1370" customFormat="1" ht="18" hidden="1" customHeight="1" thickBot="1">
      <c r="A491" s="1408"/>
      <c r="B491" s="1429"/>
      <c r="C491" s="4899"/>
      <c r="D491" s="4900"/>
      <c r="E491" s="2045"/>
      <c r="F491" s="1714"/>
      <c r="G491" s="2037"/>
      <c r="H491" s="1716" t="e">
        <f t="shared" si="33"/>
        <v>#DIV/0!</v>
      </c>
    </row>
    <row r="492" spans="1:8" s="1370" customFormat="1" ht="16.5" hidden="1" customHeight="1" thickBot="1">
      <c r="A492" s="1408"/>
      <c r="B492" s="1429"/>
      <c r="C492" s="4888" t="s">
        <v>744</v>
      </c>
      <c r="D492" s="4901"/>
      <c r="E492" s="2046">
        <v>0</v>
      </c>
      <c r="F492" s="1714"/>
      <c r="G492" s="2037"/>
      <c r="H492" s="1716" t="e">
        <f t="shared" si="33"/>
        <v>#DIV/0!</v>
      </c>
    </row>
    <row r="493" spans="1:8" s="1370" customFormat="1" ht="16.5" hidden="1" customHeight="1" thickBot="1">
      <c r="A493" s="1408"/>
      <c r="B493" s="1429"/>
      <c r="C493" s="4902" t="s">
        <v>885</v>
      </c>
      <c r="D493" s="4902"/>
      <c r="E493" s="1713">
        <v>0</v>
      </c>
      <c r="F493" s="1714"/>
      <c r="G493" s="2037"/>
      <c r="H493" s="1716" t="e">
        <f t="shared" si="33"/>
        <v>#DIV/0!</v>
      </c>
    </row>
    <row r="494" spans="1:8" s="1370" customFormat="1" ht="39" hidden="1" thickBot="1">
      <c r="A494" s="1408"/>
      <c r="B494" s="1429"/>
      <c r="C494" s="2047" t="s">
        <v>880</v>
      </c>
      <c r="D494" s="2048" t="s">
        <v>881</v>
      </c>
      <c r="E494" s="1464">
        <v>0</v>
      </c>
      <c r="F494" s="1714"/>
      <c r="G494" s="2037"/>
      <c r="H494" s="2049" t="e">
        <f t="shared" si="33"/>
        <v>#DIV/0!</v>
      </c>
    </row>
    <row r="495" spans="1:8" s="1370" customFormat="1" ht="17.100000000000001" customHeight="1" thickBot="1">
      <c r="A495" s="1408"/>
      <c r="B495" s="1500" t="s">
        <v>906</v>
      </c>
      <c r="C495" s="1501"/>
      <c r="D495" s="1502" t="s">
        <v>312</v>
      </c>
      <c r="E495" s="1503">
        <v>3599860</v>
      </c>
      <c r="F495" s="1504">
        <f>SUM(F496,F537)</f>
        <v>566748</v>
      </c>
      <c r="G495" s="1504">
        <f>SUM(G496,G537)</f>
        <v>587142</v>
      </c>
      <c r="H495" s="1506">
        <f t="shared" si="33"/>
        <v>1.0359842469669058</v>
      </c>
    </row>
    <row r="496" spans="1:8" s="1370" customFormat="1" ht="17.100000000000001" customHeight="1">
      <c r="A496" s="1408"/>
      <c r="B496" s="1507"/>
      <c r="C496" s="4903" t="s">
        <v>688</v>
      </c>
      <c r="D496" s="4904"/>
      <c r="E496" s="2050">
        <v>3599860</v>
      </c>
      <c r="F496" s="1913">
        <f>SUM(F497,F518)</f>
        <v>483151</v>
      </c>
      <c r="G496" s="2051">
        <f>SUM(G497,G518)</f>
        <v>587142</v>
      </c>
      <c r="H496" s="1509">
        <f t="shared" si="33"/>
        <v>1.2152349886474414</v>
      </c>
    </row>
    <row r="497" spans="1:10" s="1370" customFormat="1" ht="16.5" customHeight="1">
      <c r="A497" s="1408"/>
      <c r="B497" s="1510"/>
      <c r="C497" s="4905" t="s">
        <v>689</v>
      </c>
      <c r="D497" s="4906"/>
      <c r="E497" s="1916">
        <v>483151</v>
      </c>
      <c r="F497" s="1917">
        <f>SUM(F498,F506)</f>
        <v>483151</v>
      </c>
      <c r="G497" s="2052">
        <f>SUM(G498,G506)</f>
        <v>587142</v>
      </c>
      <c r="H497" s="1716">
        <f t="shared" si="33"/>
        <v>1.2152349886474414</v>
      </c>
    </row>
    <row r="498" spans="1:10" s="1370" customFormat="1" ht="16.5" customHeight="1">
      <c r="A498" s="1408"/>
      <c r="B498" s="1510"/>
      <c r="C498" s="4907" t="s">
        <v>690</v>
      </c>
      <c r="D498" s="4907"/>
      <c r="E498" s="1782">
        <v>473151</v>
      </c>
      <c r="F498" s="1783">
        <f>SUM(F499:F504)</f>
        <v>473151</v>
      </c>
      <c r="G498" s="2053">
        <f>SUM(G499:G504)</f>
        <v>577142</v>
      </c>
      <c r="H498" s="1785">
        <f t="shared" si="33"/>
        <v>1.219783959032106</v>
      </c>
      <c r="J498" s="1370" t="s">
        <v>809</v>
      </c>
    </row>
    <row r="499" spans="1:10" s="1370" customFormat="1" ht="16.5" customHeight="1">
      <c r="A499" s="1408"/>
      <c r="B499" s="1510"/>
      <c r="C499" s="2038" t="s">
        <v>692</v>
      </c>
      <c r="D499" s="2039" t="s">
        <v>693</v>
      </c>
      <c r="E499" s="1713">
        <v>370849</v>
      </c>
      <c r="F499" s="1714">
        <v>370709</v>
      </c>
      <c r="G499" s="2054">
        <v>456448</v>
      </c>
      <c r="H499" s="1716">
        <f t="shared" si="33"/>
        <v>1.2312838371876593</v>
      </c>
    </row>
    <row r="500" spans="1:10" s="1370" customFormat="1" ht="16.5" customHeight="1">
      <c r="A500" s="1408"/>
      <c r="B500" s="1510"/>
      <c r="C500" s="2055" t="s">
        <v>694</v>
      </c>
      <c r="D500" s="2056" t="s">
        <v>695</v>
      </c>
      <c r="E500" s="1713">
        <v>24692</v>
      </c>
      <c r="F500" s="1714">
        <v>24832</v>
      </c>
      <c r="G500" s="2054">
        <v>28278</v>
      </c>
      <c r="H500" s="1716">
        <f t="shared" si="33"/>
        <v>1.1387725515463918</v>
      </c>
    </row>
    <row r="501" spans="1:10" s="1370" customFormat="1" ht="16.5" customHeight="1">
      <c r="A501" s="1408"/>
      <c r="B501" s="1510"/>
      <c r="C501" s="2055" t="s">
        <v>696</v>
      </c>
      <c r="D501" s="2056" t="s">
        <v>697</v>
      </c>
      <c r="E501" s="1713">
        <v>64420</v>
      </c>
      <c r="F501" s="1714">
        <v>64420</v>
      </c>
      <c r="G501" s="2054">
        <v>76003</v>
      </c>
      <c r="H501" s="1716">
        <f t="shared" si="33"/>
        <v>1.1798044085687676</v>
      </c>
    </row>
    <row r="502" spans="1:10" s="1370" customFormat="1" ht="17.25" customHeight="1">
      <c r="A502" s="1429"/>
      <c r="B502" s="1510"/>
      <c r="C502" s="2057" t="s">
        <v>698</v>
      </c>
      <c r="D502" s="2058" t="s">
        <v>699</v>
      </c>
      <c r="E502" s="1713">
        <v>9690</v>
      </c>
      <c r="F502" s="1714">
        <v>9690</v>
      </c>
      <c r="G502" s="2054">
        <v>12544</v>
      </c>
      <c r="H502" s="1716">
        <f t="shared" si="33"/>
        <v>1.29453044375645</v>
      </c>
    </row>
    <row r="503" spans="1:10" s="1370" customFormat="1" ht="16.5" hidden="1" customHeight="1">
      <c r="A503" s="1408"/>
      <c r="B503" s="1510"/>
      <c r="C503" s="2059" t="s">
        <v>700</v>
      </c>
      <c r="D503" s="2060" t="s">
        <v>701</v>
      </c>
      <c r="E503" s="2061">
        <v>0</v>
      </c>
      <c r="F503" s="1714"/>
      <c r="H503" s="1716" t="e">
        <f>G504/F503</f>
        <v>#DIV/0!</v>
      </c>
    </row>
    <row r="504" spans="1:10" s="1370" customFormat="1" ht="16.5" customHeight="1">
      <c r="A504" s="1408"/>
      <c r="B504" s="1510"/>
      <c r="C504" s="2062" t="s">
        <v>702</v>
      </c>
      <c r="D504" s="2056" t="s">
        <v>703</v>
      </c>
      <c r="E504" s="1713">
        <v>3500</v>
      </c>
      <c r="F504" s="1714">
        <v>3500</v>
      </c>
      <c r="G504" s="2054">
        <v>3869</v>
      </c>
      <c r="H504" s="1716">
        <f t="shared" si="33"/>
        <v>1.1054285714285714</v>
      </c>
    </row>
    <row r="505" spans="1:10" s="1370" customFormat="1" ht="16.5" customHeight="1">
      <c r="A505" s="1408"/>
      <c r="B505" s="1510"/>
      <c r="C505" s="4890"/>
      <c r="D505" s="4891"/>
      <c r="E505" s="1916"/>
      <c r="F505" s="1714"/>
      <c r="G505" s="2063"/>
      <c r="H505" s="1716"/>
    </row>
    <row r="506" spans="1:10" s="1370" customFormat="1" ht="16.5" customHeight="1">
      <c r="A506" s="1408"/>
      <c r="B506" s="1510"/>
      <c r="C506" s="4892" t="s">
        <v>704</v>
      </c>
      <c r="D506" s="4863"/>
      <c r="E506" s="1916">
        <v>10000</v>
      </c>
      <c r="F506" s="2064">
        <f>SUM(F508)</f>
        <v>10000</v>
      </c>
      <c r="G506" s="2065">
        <f>SUM(G508)</f>
        <v>10000</v>
      </c>
      <c r="H506" s="1785">
        <f t="shared" ref="H506:H516" si="34">G506/F506</f>
        <v>1</v>
      </c>
    </row>
    <row r="507" spans="1:10" s="1370" customFormat="1" ht="16.5" hidden="1" customHeight="1">
      <c r="A507" s="1408"/>
      <c r="B507" s="1510"/>
      <c r="C507" s="2066" t="s">
        <v>705</v>
      </c>
      <c r="D507" s="2067" t="s">
        <v>706</v>
      </c>
      <c r="E507" s="2068">
        <v>0</v>
      </c>
      <c r="F507" s="1714"/>
      <c r="G507" s="2063"/>
      <c r="H507" s="1716" t="e">
        <f t="shared" si="34"/>
        <v>#DIV/0!</v>
      </c>
    </row>
    <row r="508" spans="1:10" s="1370" customFormat="1" ht="14.25" customHeight="1">
      <c r="A508" s="1408"/>
      <c r="B508" s="1510"/>
      <c r="C508" s="1778" t="s">
        <v>717</v>
      </c>
      <c r="D508" s="2069" t="s">
        <v>718</v>
      </c>
      <c r="E508" s="1916">
        <v>10000</v>
      </c>
      <c r="F508" s="1714">
        <v>10000</v>
      </c>
      <c r="G508" s="2063">
        <v>10000</v>
      </c>
      <c r="H508" s="1716">
        <f t="shared" si="34"/>
        <v>1</v>
      </c>
      <c r="J508" s="1370" t="s">
        <v>845</v>
      </c>
    </row>
    <row r="509" spans="1:10" s="1370" customFormat="1" ht="14.25" hidden="1" customHeight="1">
      <c r="A509" s="1408"/>
      <c r="B509" s="1532"/>
      <c r="C509" s="2070" t="s">
        <v>721</v>
      </c>
      <c r="D509" s="2071" t="s">
        <v>722</v>
      </c>
      <c r="E509" s="2072">
        <v>0</v>
      </c>
      <c r="F509" s="1714"/>
      <c r="G509" s="2063"/>
      <c r="H509" s="1716" t="e">
        <f t="shared" si="34"/>
        <v>#DIV/0!</v>
      </c>
    </row>
    <row r="510" spans="1:10" s="1370" customFormat="1" ht="16.5" hidden="1" customHeight="1">
      <c r="A510" s="1408"/>
      <c r="B510" s="1532"/>
      <c r="C510" s="2073" t="s">
        <v>729</v>
      </c>
      <c r="D510" s="2074" t="s">
        <v>730</v>
      </c>
      <c r="E510" s="2068">
        <v>0</v>
      </c>
      <c r="F510" s="1714"/>
      <c r="G510" s="2063"/>
      <c r="H510" s="1716" t="e">
        <f t="shared" si="34"/>
        <v>#DIV/0!</v>
      </c>
    </row>
    <row r="511" spans="1:10" s="1370" customFormat="1" ht="17.25" hidden="1" customHeight="1">
      <c r="A511" s="1408"/>
      <c r="B511" s="1532"/>
      <c r="C511" s="2075" t="s">
        <v>847</v>
      </c>
      <c r="D511" s="2076" t="s">
        <v>848</v>
      </c>
      <c r="E511" s="2068">
        <v>0</v>
      </c>
      <c r="F511" s="1714"/>
      <c r="G511" s="2063"/>
      <c r="H511" s="1716" t="e">
        <f t="shared" si="34"/>
        <v>#DIV/0!</v>
      </c>
    </row>
    <row r="512" spans="1:10" s="1370" customFormat="1" ht="28.5" hidden="1" customHeight="1">
      <c r="A512" s="1408"/>
      <c r="B512" s="1532"/>
      <c r="C512" s="2077" t="s">
        <v>867</v>
      </c>
      <c r="D512" s="2076" t="s">
        <v>868</v>
      </c>
      <c r="E512" s="2068">
        <v>0</v>
      </c>
      <c r="F512" s="1714"/>
      <c r="G512" s="2063"/>
      <c r="H512" s="1716" t="e">
        <f t="shared" si="34"/>
        <v>#DIV/0!</v>
      </c>
    </row>
    <row r="513" spans="1:8" s="1370" customFormat="1" ht="21" hidden="1" customHeight="1">
      <c r="A513" s="1408"/>
      <c r="B513" s="1532"/>
      <c r="C513" s="2077" t="s">
        <v>815</v>
      </c>
      <c r="D513" s="2076" t="s">
        <v>816</v>
      </c>
      <c r="E513" s="2068">
        <v>0</v>
      </c>
      <c r="F513" s="1714"/>
      <c r="G513" s="2063"/>
      <c r="H513" s="1716" t="e">
        <f t="shared" si="34"/>
        <v>#DIV/0!</v>
      </c>
    </row>
    <row r="514" spans="1:8" s="1370" customFormat="1" ht="14.25" hidden="1" customHeight="1">
      <c r="A514" s="1408"/>
      <c r="B514" s="1532"/>
      <c r="C514" s="2078"/>
      <c r="D514" s="2079"/>
      <c r="E514" s="2068"/>
      <c r="F514" s="1714"/>
      <c r="G514" s="2063"/>
      <c r="H514" s="1716" t="e">
        <f t="shared" si="34"/>
        <v>#DIV/0!</v>
      </c>
    </row>
    <row r="515" spans="1:8" s="1370" customFormat="1" ht="16.5" hidden="1" customHeight="1">
      <c r="A515" s="1408"/>
      <c r="B515" s="1532"/>
      <c r="C515" s="4893" t="s">
        <v>797</v>
      </c>
      <c r="D515" s="4893"/>
      <c r="E515" s="2080">
        <v>0</v>
      </c>
      <c r="F515" s="1714"/>
      <c r="G515" s="2081"/>
      <c r="H515" s="1716" t="e">
        <f t="shared" si="34"/>
        <v>#DIV/0!</v>
      </c>
    </row>
    <row r="516" spans="1:8" s="1370" customFormat="1" ht="39.75" hidden="1" customHeight="1">
      <c r="A516" s="1408"/>
      <c r="B516" s="1532"/>
      <c r="C516" s="2055" t="s">
        <v>351</v>
      </c>
      <c r="D516" s="2056" t="s">
        <v>907</v>
      </c>
      <c r="E516" s="2068">
        <v>0</v>
      </c>
      <c r="F516" s="1714"/>
      <c r="G516" s="2063"/>
      <c r="H516" s="1716" t="e">
        <f t="shared" si="34"/>
        <v>#DIV/0!</v>
      </c>
    </row>
    <row r="517" spans="1:8" s="1370" customFormat="1" ht="21" hidden="1" customHeight="1">
      <c r="A517" s="1408"/>
      <c r="B517" s="1532"/>
      <c r="C517" s="2082"/>
      <c r="D517" s="1812"/>
      <c r="E517" s="1916"/>
      <c r="F517" s="1714"/>
      <c r="G517" s="2063"/>
      <c r="H517" s="1716"/>
    </row>
    <row r="518" spans="1:8" s="1370" customFormat="1" ht="18.75" hidden="1" customHeight="1">
      <c r="A518" s="1408"/>
      <c r="B518" s="2083"/>
      <c r="C518" s="4894" t="s">
        <v>761</v>
      </c>
      <c r="D518" s="4895"/>
      <c r="E518" s="2072">
        <v>3116709</v>
      </c>
      <c r="F518" s="2084">
        <v>0</v>
      </c>
      <c r="G518" s="2085">
        <v>0</v>
      </c>
      <c r="H518" s="1716"/>
    </row>
    <row r="519" spans="1:8" s="1370" customFormat="1" ht="49.5" hidden="1" customHeight="1">
      <c r="A519" s="1408"/>
      <c r="B519" s="2083"/>
      <c r="C519" s="2057" t="s">
        <v>908</v>
      </c>
      <c r="D519" s="2058" t="s">
        <v>857</v>
      </c>
      <c r="E519" s="2068">
        <v>0</v>
      </c>
      <c r="F519" s="1714"/>
      <c r="G519" s="2063"/>
      <c r="H519" s="1716"/>
    </row>
    <row r="520" spans="1:8" s="1370" customFormat="1" ht="20.25" hidden="1" customHeight="1">
      <c r="A520" s="1408"/>
      <c r="B520" s="2083"/>
      <c r="C520" s="2086" t="s">
        <v>909</v>
      </c>
      <c r="D520" s="1812" t="s">
        <v>693</v>
      </c>
      <c r="E520" s="2068">
        <v>0</v>
      </c>
      <c r="F520" s="1714"/>
      <c r="G520" s="2063"/>
      <c r="H520" s="1716"/>
    </row>
    <row r="521" spans="1:8" s="1370" customFormat="1" ht="20.25" hidden="1" customHeight="1">
      <c r="A521" s="1408"/>
      <c r="B521" s="2083"/>
      <c r="C521" s="2086" t="s">
        <v>910</v>
      </c>
      <c r="D521" s="1812" t="s">
        <v>693</v>
      </c>
      <c r="E521" s="2068">
        <v>0</v>
      </c>
      <c r="F521" s="1714"/>
      <c r="G521" s="2063"/>
      <c r="H521" s="1716"/>
    </row>
    <row r="522" spans="1:8" s="1370" customFormat="1" ht="18.75" hidden="1" customHeight="1">
      <c r="A522" s="1408"/>
      <c r="B522" s="2083"/>
      <c r="C522" s="2086" t="s">
        <v>911</v>
      </c>
      <c r="D522" s="1812" t="s">
        <v>697</v>
      </c>
      <c r="E522" s="2068">
        <v>0</v>
      </c>
      <c r="F522" s="1714"/>
      <c r="G522" s="2063"/>
      <c r="H522" s="1716"/>
    </row>
    <row r="523" spans="1:8" s="1370" customFormat="1" ht="20.25" hidden="1" customHeight="1">
      <c r="A523" s="1408"/>
      <c r="B523" s="2083"/>
      <c r="C523" s="1778" t="s">
        <v>912</v>
      </c>
      <c r="D523" s="2087" t="s">
        <v>697</v>
      </c>
      <c r="E523" s="2068">
        <v>0</v>
      </c>
      <c r="F523" s="1714"/>
      <c r="G523" s="2063"/>
      <c r="H523" s="1716"/>
    </row>
    <row r="524" spans="1:8" s="1370" customFormat="1" ht="27.75" hidden="1" customHeight="1">
      <c r="A524" s="1408"/>
      <c r="B524" s="2083"/>
      <c r="C524" s="1778" t="s">
        <v>913</v>
      </c>
      <c r="D524" s="2087" t="s">
        <v>831</v>
      </c>
      <c r="E524" s="2068">
        <v>0</v>
      </c>
      <c r="F524" s="1714"/>
      <c r="G524" s="2063"/>
      <c r="H524" s="1716"/>
    </row>
    <row r="525" spans="1:8" s="1370" customFormat="1" ht="27" hidden="1" customHeight="1">
      <c r="A525" s="1408"/>
      <c r="B525" s="2083"/>
      <c r="C525" s="1778" t="s">
        <v>914</v>
      </c>
      <c r="D525" s="2087" t="s">
        <v>831</v>
      </c>
      <c r="E525" s="2068">
        <v>0</v>
      </c>
      <c r="F525" s="1714"/>
      <c r="G525" s="2063"/>
      <c r="H525" s="1716"/>
    </row>
    <row r="526" spans="1:8" s="1370" customFormat="1" ht="18" hidden="1" customHeight="1">
      <c r="A526" s="1408"/>
      <c r="B526" s="2083"/>
      <c r="C526" s="1778" t="s">
        <v>915</v>
      </c>
      <c r="D526" s="2087" t="s">
        <v>708</v>
      </c>
      <c r="E526" s="2068">
        <v>0</v>
      </c>
      <c r="F526" s="1714"/>
      <c r="G526" s="2063"/>
      <c r="H526" s="1716"/>
    </row>
    <row r="527" spans="1:8" s="1370" customFormat="1" ht="18" hidden="1" customHeight="1">
      <c r="A527" s="1408"/>
      <c r="B527" s="2083"/>
      <c r="C527" s="1778" t="s">
        <v>916</v>
      </c>
      <c r="D527" s="2087" t="s">
        <v>708</v>
      </c>
      <c r="E527" s="2068">
        <v>0</v>
      </c>
      <c r="F527" s="1714"/>
      <c r="G527" s="2063"/>
      <c r="H527" s="1716"/>
    </row>
    <row r="528" spans="1:8" s="1370" customFormat="1" ht="18" hidden="1" customHeight="1">
      <c r="A528" s="1408"/>
      <c r="B528" s="2083"/>
      <c r="C528" s="2086" t="s">
        <v>917</v>
      </c>
      <c r="D528" s="2087" t="s">
        <v>718</v>
      </c>
      <c r="E528" s="2068">
        <v>3030369</v>
      </c>
      <c r="F528" s="1714">
        <v>0</v>
      </c>
      <c r="G528" s="2063">
        <v>0</v>
      </c>
      <c r="H528" s="1716"/>
    </row>
    <row r="529" spans="1:8" s="1370" customFormat="1" ht="18" hidden="1" customHeight="1">
      <c r="A529" s="1408"/>
      <c r="B529" s="2083"/>
      <c r="C529" s="2086" t="s">
        <v>918</v>
      </c>
      <c r="D529" s="2087" t="s">
        <v>718</v>
      </c>
      <c r="E529" s="2068">
        <v>86340</v>
      </c>
      <c r="F529" s="1714">
        <v>0</v>
      </c>
      <c r="G529" s="2063">
        <v>0</v>
      </c>
      <c r="H529" s="1716"/>
    </row>
    <row r="530" spans="1:8" s="1370" customFormat="1" ht="18" hidden="1" customHeight="1">
      <c r="A530" s="1408"/>
      <c r="B530" s="2083"/>
      <c r="C530" s="2088" t="s">
        <v>919</v>
      </c>
      <c r="D530" s="2087" t="s">
        <v>901</v>
      </c>
      <c r="E530" s="2068">
        <v>0</v>
      </c>
      <c r="F530" s="1714"/>
      <c r="G530" s="2063"/>
      <c r="H530" s="1716"/>
    </row>
    <row r="531" spans="1:8" s="1370" customFormat="1" ht="18" hidden="1" customHeight="1" thickBot="1">
      <c r="A531" s="1408"/>
      <c r="B531" s="2083"/>
      <c r="C531" s="2088" t="s">
        <v>920</v>
      </c>
      <c r="D531" s="2087" t="s">
        <v>901</v>
      </c>
      <c r="E531" s="2068">
        <v>0</v>
      </c>
      <c r="F531" s="1714"/>
      <c r="G531" s="2063"/>
      <c r="H531" s="1716"/>
    </row>
    <row r="532" spans="1:8" s="1370" customFormat="1" ht="18.75" hidden="1" customHeight="1" thickBot="1">
      <c r="A532" s="1408"/>
      <c r="B532" s="2083"/>
      <c r="C532" s="2086" t="s">
        <v>921</v>
      </c>
      <c r="D532" s="2087" t="s">
        <v>726</v>
      </c>
      <c r="E532" s="2068">
        <v>0</v>
      </c>
      <c r="F532" s="1714"/>
      <c r="G532" s="2063"/>
      <c r="H532" s="1716"/>
    </row>
    <row r="533" spans="1:8" s="1370" customFormat="1" ht="20.25" hidden="1" customHeight="1" thickBot="1">
      <c r="A533" s="1408"/>
      <c r="B533" s="2083"/>
      <c r="C533" s="2086" t="s">
        <v>922</v>
      </c>
      <c r="D533" s="2087" t="s">
        <v>726</v>
      </c>
      <c r="E533" s="2068">
        <v>0</v>
      </c>
      <c r="F533" s="1714"/>
      <c r="G533" s="2063"/>
      <c r="H533" s="1716"/>
    </row>
    <row r="534" spans="1:8" s="1370" customFormat="1" ht="19.5" hidden="1" customHeight="1" thickBot="1">
      <c r="A534" s="1408"/>
      <c r="B534" s="2083"/>
      <c r="C534" s="2086" t="s">
        <v>923</v>
      </c>
      <c r="D534" s="2087" t="s">
        <v>866</v>
      </c>
      <c r="E534" s="2068">
        <v>0</v>
      </c>
      <c r="F534" s="1714"/>
      <c r="G534" s="2063"/>
      <c r="H534" s="1716"/>
    </row>
    <row r="535" spans="1:8" s="1370" customFormat="1" ht="18" hidden="1" customHeight="1" thickBot="1">
      <c r="A535" s="1408"/>
      <c r="B535" s="2083"/>
      <c r="C535" s="1778" t="s">
        <v>924</v>
      </c>
      <c r="D535" s="2087" t="s">
        <v>866</v>
      </c>
      <c r="E535" s="2068">
        <v>0</v>
      </c>
      <c r="F535" s="1714"/>
      <c r="G535" s="2063"/>
      <c r="H535" s="1716"/>
    </row>
    <row r="536" spans="1:8" s="1370" customFormat="1" ht="16.5" customHeight="1">
      <c r="A536" s="1408"/>
      <c r="B536" s="2083"/>
      <c r="C536" s="1833"/>
      <c r="D536" s="2087"/>
      <c r="E536" s="1916"/>
      <c r="F536" s="1714"/>
      <c r="G536" s="2063"/>
      <c r="H536" s="1716"/>
    </row>
    <row r="537" spans="1:8" s="1370" customFormat="1" ht="16.5" customHeight="1">
      <c r="A537" s="1429"/>
      <c r="B537" s="1532"/>
      <c r="C537" s="4896" t="s">
        <v>744</v>
      </c>
      <c r="D537" s="4897"/>
      <c r="E537" s="2050">
        <v>0</v>
      </c>
      <c r="F537" s="2089">
        <f>F538</f>
        <v>83597</v>
      </c>
      <c r="G537" s="2051">
        <f>G538</f>
        <v>0</v>
      </c>
      <c r="H537" s="1509">
        <f t="shared" ref="H537:H557" si="35">G537/F537</f>
        <v>0</v>
      </c>
    </row>
    <row r="538" spans="1:8" s="1370" customFormat="1" ht="16.5" customHeight="1">
      <c r="A538" s="1408"/>
      <c r="B538" s="2083"/>
      <c r="C538" s="4875" t="s">
        <v>745</v>
      </c>
      <c r="D538" s="4898"/>
      <c r="E538" s="2068">
        <v>0</v>
      </c>
      <c r="F538" s="2090">
        <f>F539</f>
        <v>83597</v>
      </c>
      <c r="G538" s="2091">
        <f>G539</f>
        <v>0</v>
      </c>
      <c r="H538" s="1716">
        <f t="shared" si="35"/>
        <v>0</v>
      </c>
    </row>
    <row r="539" spans="1:8" s="1370" customFormat="1" ht="66" customHeight="1" thickBot="1">
      <c r="A539" s="1591"/>
      <c r="B539" s="1535"/>
      <c r="C539" s="2092" t="s">
        <v>449</v>
      </c>
      <c r="D539" s="2093" t="s">
        <v>925</v>
      </c>
      <c r="E539" s="2094">
        <v>0</v>
      </c>
      <c r="F539" s="1538">
        <v>83597</v>
      </c>
      <c r="G539" s="1539">
        <v>0</v>
      </c>
      <c r="H539" s="1540">
        <f t="shared" si="35"/>
        <v>0</v>
      </c>
    </row>
    <row r="540" spans="1:8" s="1370" customFormat="1" ht="39.75" hidden="1" customHeight="1" thickBot="1">
      <c r="A540" s="1408"/>
      <c r="B540" s="2083"/>
      <c r="C540" s="1717" t="s">
        <v>880</v>
      </c>
      <c r="D540" s="1479" t="s">
        <v>881</v>
      </c>
      <c r="E540" s="2072">
        <v>0</v>
      </c>
      <c r="F540" s="2095"/>
      <c r="G540" s="2096"/>
      <c r="H540" s="1594" t="e">
        <f t="shared" si="35"/>
        <v>#DIV/0!</v>
      </c>
    </row>
    <row r="541" spans="1:8" s="1370" customFormat="1" ht="17.100000000000001" customHeight="1" thickBot="1">
      <c r="A541" s="1595" t="s">
        <v>926</v>
      </c>
      <c r="B541" s="1401"/>
      <c r="C541" s="1402"/>
      <c r="D541" s="1403" t="s">
        <v>927</v>
      </c>
      <c r="E541" s="2097">
        <f>SUM(E542,E570)</f>
        <v>1296086</v>
      </c>
      <c r="F541" s="2098">
        <f>SUM(F542,F570)</f>
        <v>14932207</v>
      </c>
      <c r="G541" s="2099">
        <f>SUM(G542,G570)</f>
        <v>1784713</v>
      </c>
      <c r="H541" s="1602">
        <f t="shared" si="35"/>
        <v>0.1195210460181807</v>
      </c>
    </row>
    <row r="542" spans="1:8" s="1370" customFormat="1" ht="17.100000000000001" customHeight="1" thickBot="1">
      <c r="A542" s="1585"/>
      <c r="B542" s="1500" t="s">
        <v>928</v>
      </c>
      <c r="C542" s="1501"/>
      <c r="D542" s="1502" t="s">
        <v>398</v>
      </c>
      <c r="E542" s="1503">
        <f>SUM(E543,E562)</f>
        <v>1296086</v>
      </c>
      <c r="F542" s="1504">
        <f>SUM(F543,F562)</f>
        <v>14893207</v>
      </c>
      <c r="G542" s="1505">
        <f>SUM(G543,G562)</f>
        <v>1784713</v>
      </c>
      <c r="H542" s="1506">
        <f t="shared" si="35"/>
        <v>0.11983402903081922</v>
      </c>
    </row>
    <row r="543" spans="1:8" s="1370" customFormat="1" ht="17.100000000000001" customHeight="1">
      <c r="A543" s="1408"/>
      <c r="B543" s="2100"/>
      <c r="C543" s="4882" t="s">
        <v>688</v>
      </c>
      <c r="D543" s="4883"/>
      <c r="E543" s="2101">
        <f>SUM(E544,E559)</f>
        <v>441050</v>
      </c>
      <c r="F543" s="2102">
        <f>SUM(F544,F559)</f>
        <v>1501662</v>
      </c>
      <c r="G543" s="2103">
        <f>SUM(G544,G559)</f>
        <v>620350</v>
      </c>
      <c r="H543" s="1509">
        <f t="shared" si="35"/>
        <v>0.41310894195897613</v>
      </c>
    </row>
    <row r="544" spans="1:8" s="1370" customFormat="1" ht="17.100000000000001" customHeight="1">
      <c r="A544" s="1408"/>
      <c r="B544" s="2100"/>
      <c r="C544" s="4884" t="s">
        <v>689</v>
      </c>
      <c r="D544" s="4885"/>
      <c r="E544" s="1713">
        <f>SUM(E545)</f>
        <v>441050</v>
      </c>
      <c r="F544" s="1714">
        <f>SUM(F545)</f>
        <v>1375662</v>
      </c>
      <c r="G544" s="1960">
        <f>SUM(G545)</f>
        <v>620350</v>
      </c>
      <c r="H544" s="1716">
        <f t="shared" si="35"/>
        <v>0.4509465261088843</v>
      </c>
    </row>
    <row r="545" spans="1:10" s="1370" customFormat="1" ht="17.100000000000001" customHeight="1">
      <c r="A545" s="1408"/>
      <c r="B545" s="2100"/>
      <c r="C545" s="4886" t="s">
        <v>704</v>
      </c>
      <c r="D545" s="4887"/>
      <c r="E545" s="1782">
        <f>SUM(E546:E557)</f>
        <v>441050</v>
      </c>
      <c r="F545" s="1783">
        <f>SUM(F546:F557)</f>
        <v>1375662</v>
      </c>
      <c r="G545" s="2053">
        <f>SUM(G546:G557)</f>
        <v>620350</v>
      </c>
      <c r="H545" s="1785">
        <f t="shared" si="35"/>
        <v>0.4509465261088843</v>
      </c>
    </row>
    <row r="546" spans="1:10" s="1370" customFormat="1" ht="17.100000000000001" customHeight="1">
      <c r="A546" s="1408"/>
      <c r="B546" s="1408"/>
      <c r="C546" s="2104" t="s">
        <v>707</v>
      </c>
      <c r="D546" s="2105" t="s">
        <v>708</v>
      </c>
      <c r="E546" s="1713">
        <v>10000</v>
      </c>
      <c r="F546" s="1714">
        <v>10000</v>
      </c>
      <c r="G546" s="2106">
        <v>10000</v>
      </c>
      <c r="H546" s="1716">
        <f t="shared" si="35"/>
        <v>1</v>
      </c>
      <c r="J546" s="1370" t="s">
        <v>691</v>
      </c>
    </row>
    <row r="547" spans="1:10" s="1370" customFormat="1" ht="17.100000000000001" customHeight="1">
      <c r="A547" s="1408"/>
      <c r="B547" s="1408"/>
      <c r="C547" s="2104" t="s">
        <v>711</v>
      </c>
      <c r="D547" s="2105" t="s">
        <v>712</v>
      </c>
      <c r="E547" s="1713">
        <v>25000</v>
      </c>
      <c r="F547" s="1714">
        <v>25000</v>
      </c>
      <c r="G547" s="2106">
        <v>25000</v>
      </c>
      <c r="H547" s="1716">
        <f t="shared" si="35"/>
        <v>1</v>
      </c>
      <c r="J547" s="1370" t="s">
        <v>691</v>
      </c>
    </row>
    <row r="548" spans="1:10" s="1370" customFormat="1" ht="17.100000000000001" customHeight="1">
      <c r="A548" s="1408"/>
      <c r="B548" s="1408"/>
      <c r="C548" s="2104" t="s">
        <v>713</v>
      </c>
      <c r="D548" s="2105" t="s">
        <v>714</v>
      </c>
      <c r="E548" s="1713">
        <v>95000</v>
      </c>
      <c r="F548" s="1714">
        <v>95000</v>
      </c>
      <c r="G548" s="2106">
        <v>20000</v>
      </c>
      <c r="H548" s="1716">
        <f t="shared" si="35"/>
        <v>0.21052631578947367</v>
      </c>
      <c r="J548" s="1370" t="s">
        <v>691</v>
      </c>
    </row>
    <row r="549" spans="1:10" s="1370" customFormat="1" ht="17.100000000000001" customHeight="1">
      <c r="A549" s="1408"/>
      <c r="B549" s="1408"/>
      <c r="C549" s="2104" t="s">
        <v>717</v>
      </c>
      <c r="D549" s="2105" t="s">
        <v>718</v>
      </c>
      <c r="E549" s="1713">
        <v>170000</v>
      </c>
      <c r="F549" s="1714">
        <v>162040</v>
      </c>
      <c r="G549" s="2106">
        <v>170000</v>
      </c>
      <c r="H549" s="1716">
        <f t="shared" si="35"/>
        <v>1.0491236731671192</v>
      </c>
      <c r="J549" s="1370" t="s">
        <v>691</v>
      </c>
    </row>
    <row r="550" spans="1:10" s="1370" customFormat="1" ht="17.100000000000001" customHeight="1">
      <c r="A550" s="1408"/>
      <c r="B550" s="1408"/>
      <c r="C550" s="2104" t="s">
        <v>929</v>
      </c>
      <c r="D550" s="2105" t="s">
        <v>930</v>
      </c>
      <c r="E550" s="1713"/>
      <c r="F550" s="1714">
        <v>0</v>
      </c>
      <c r="G550" s="2106">
        <v>251000</v>
      </c>
      <c r="H550" s="1716"/>
      <c r="J550" s="1370" t="s">
        <v>931</v>
      </c>
    </row>
    <row r="551" spans="1:10" s="1370" customFormat="1" ht="17.100000000000001" hidden="1" customHeight="1">
      <c r="A551" s="1408"/>
      <c r="B551" s="1408"/>
      <c r="C551" s="2104" t="s">
        <v>727</v>
      </c>
      <c r="D551" s="2105" t="s">
        <v>728</v>
      </c>
      <c r="E551" s="1713">
        <v>0</v>
      </c>
      <c r="F551" s="1714"/>
      <c r="G551" s="2106"/>
      <c r="H551" s="1716"/>
    </row>
    <row r="552" spans="1:10" s="1370" customFormat="1" ht="17.100000000000001" customHeight="1">
      <c r="A552" s="1408"/>
      <c r="B552" s="1408"/>
      <c r="C552" s="2104" t="s">
        <v>731</v>
      </c>
      <c r="D552" s="2105" t="s">
        <v>732</v>
      </c>
      <c r="E552" s="1713">
        <v>100000</v>
      </c>
      <c r="F552" s="1714">
        <v>96700</v>
      </c>
      <c r="G552" s="2106">
        <v>100000</v>
      </c>
      <c r="H552" s="1716">
        <f t="shared" si="35"/>
        <v>1.0341261633919339</v>
      </c>
      <c r="J552" s="1370" t="s">
        <v>691</v>
      </c>
    </row>
    <row r="553" spans="1:10" s="1370" customFormat="1" ht="17.100000000000001" customHeight="1">
      <c r="A553" s="1408"/>
      <c r="B553" s="1408"/>
      <c r="C553" s="2104" t="s">
        <v>735</v>
      </c>
      <c r="D553" s="2105" t="s">
        <v>736</v>
      </c>
      <c r="E553" s="1713">
        <v>1050</v>
      </c>
      <c r="F553" s="1714">
        <v>4350</v>
      </c>
      <c r="G553" s="2106">
        <v>4350</v>
      </c>
      <c r="H553" s="1716">
        <f t="shared" si="35"/>
        <v>1</v>
      </c>
      <c r="J553" s="1370" t="s">
        <v>691</v>
      </c>
    </row>
    <row r="554" spans="1:10" s="1370" customFormat="1" ht="17.100000000000001" hidden="1" customHeight="1">
      <c r="A554" s="1408"/>
      <c r="B554" s="1408"/>
      <c r="C554" s="2104" t="s">
        <v>737</v>
      </c>
      <c r="D554" s="2105" t="s">
        <v>738</v>
      </c>
      <c r="E554" s="1713">
        <v>0</v>
      </c>
      <c r="F554" s="1714"/>
      <c r="G554" s="2106"/>
      <c r="H554" s="1716" t="e">
        <f t="shared" si="35"/>
        <v>#DIV/0!</v>
      </c>
    </row>
    <row r="555" spans="1:10" s="1370" customFormat="1" ht="17.100000000000001" customHeight="1">
      <c r="A555" s="1408"/>
      <c r="B555" s="1408"/>
      <c r="C555" s="2107" t="s">
        <v>813</v>
      </c>
      <c r="D555" s="2105" t="s">
        <v>814</v>
      </c>
      <c r="E555" s="1713">
        <v>0</v>
      </c>
      <c r="F555" s="1714">
        <v>7960</v>
      </c>
      <c r="G555" s="2106">
        <v>0</v>
      </c>
      <c r="H555" s="1716">
        <f t="shared" si="35"/>
        <v>0</v>
      </c>
    </row>
    <row r="556" spans="1:10" s="1370" customFormat="1" ht="29.25" customHeight="1">
      <c r="A556" s="1408"/>
      <c r="B556" s="1408"/>
      <c r="C556" s="2107" t="s">
        <v>867</v>
      </c>
      <c r="D556" s="2108" t="s">
        <v>868</v>
      </c>
      <c r="E556" s="1713">
        <v>0</v>
      </c>
      <c r="F556" s="1714">
        <v>934612</v>
      </c>
      <c r="G556" s="2106">
        <v>0</v>
      </c>
      <c r="H556" s="1716">
        <f t="shared" si="35"/>
        <v>0</v>
      </c>
    </row>
    <row r="557" spans="1:10" s="1370" customFormat="1" ht="17.100000000000001" customHeight="1">
      <c r="A557" s="1408"/>
      <c r="B557" s="1408"/>
      <c r="C557" s="2104" t="s">
        <v>815</v>
      </c>
      <c r="D557" s="2105" t="s">
        <v>816</v>
      </c>
      <c r="E557" s="1713">
        <v>40000</v>
      </c>
      <c r="F557" s="1714">
        <v>40000</v>
      </c>
      <c r="G557" s="2106">
        <v>40000</v>
      </c>
      <c r="H557" s="1716">
        <f t="shared" si="35"/>
        <v>1</v>
      </c>
      <c r="J557" s="1370" t="s">
        <v>691</v>
      </c>
    </row>
    <row r="558" spans="1:10" s="1370" customFormat="1" ht="17.100000000000001" customHeight="1">
      <c r="A558" s="1408"/>
      <c r="B558" s="1408"/>
      <c r="C558" s="1408"/>
      <c r="D558" s="2109"/>
      <c r="E558" s="1713"/>
      <c r="F558" s="1714"/>
      <c r="G558" s="2106"/>
      <c r="H558" s="1716"/>
    </row>
    <row r="559" spans="1:10" s="1370" customFormat="1" ht="17.100000000000001" customHeight="1">
      <c r="A559" s="1408"/>
      <c r="B559" s="1408"/>
      <c r="C559" s="4872" t="s">
        <v>797</v>
      </c>
      <c r="D559" s="4873"/>
      <c r="E559" s="2110">
        <f>SUM(E560)</f>
        <v>0</v>
      </c>
      <c r="F559" s="2111">
        <f>SUM(F560)</f>
        <v>126000</v>
      </c>
      <c r="G559" s="2112">
        <f>SUM(G560)</f>
        <v>0</v>
      </c>
      <c r="H559" s="1716">
        <f>G559/F559</f>
        <v>0</v>
      </c>
    </row>
    <row r="560" spans="1:10" s="1370" customFormat="1" ht="42" customHeight="1">
      <c r="A560" s="1408"/>
      <c r="B560" s="1408"/>
      <c r="C560" s="2113" t="s">
        <v>353</v>
      </c>
      <c r="D560" s="2114" t="s">
        <v>932</v>
      </c>
      <c r="E560" s="1713">
        <v>0</v>
      </c>
      <c r="F560" s="1714">
        <v>126000</v>
      </c>
      <c r="G560" s="2106">
        <v>0</v>
      </c>
      <c r="H560" s="1716">
        <f>G560/F560</f>
        <v>0</v>
      </c>
    </row>
    <row r="561" spans="1:10" s="1370" customFormat="1" ht="17.100000000000001" customHeight="1">
      <c r="A561" s="1408"/>
      <c r="B561" s="1408"/>
      <c r="C561" s="1833"/>
      <c r="D561" s="2115"/>
      <c r="E561" s="2116"/>
      <c r="F561" s="1714"/>
      <c r="G561" s="2106"/>
      <c r="H561" s="1716"/>
    </row>
    <row r="562" spans="1:10" s="1370" customFormat="1" ht="17.100000000000001" customHeight="1">
      <c r="A562" s="1408"/>
      <c r="B562" s="1408"/>
      <c r="C562" s="4888" t="s">
        <v>744</v>
      </c>
      <c r="D562" s="4889"/>
      <c r="E562" s="2117">
        <f>SUM(E563)</f>
        <v>855036</v>
      </c>
      <c r="F562" s="2118">
        <f>SUM(F563)</f>
        <v>13391545</v>
      </c>
      <c r="G562" s="2119">
        <f>SUM(G563)</f>
        <v>1164363</v>
      </c>
      <c r="H562" s="1745">
        <f t="shared" ref="H562:H573" si="36">G562/F562</f>
        <v>8.6947622548406475E-2</v>
      </c>
    </row>
    <row r="563" spans="1:10" s="1370" customFormat="1" ht="17.100000000000001" customHeight="1">
      <c r="A563" s="1408"/>
      <c r="B563" s="1408"/>
      <c r="C563" s="4875" t="s">
        <v>745</v>
      </c>
      <c r="D563" s="4879"/>
      <c r="E563" s="2120">
        <f>SUM(E564:E567)</f>
        <v>855036</v>
      </c>
      <c r="F563" s="2112">
        <f>SUM(F564:F569)</f>
        <v>13391545</v>
      </c>
      <c r="G563" s="2112">
        <f>SUM(G564:G569)</f>
        <v>1164363</v>
      </c>
      <c r="H563" s="1716">
        <f t="shared" si="36"/>
        <v>8.6947622548406475E-2</v>
      </c>
    </row>
    <row r="564" spans="1:10" s="1370" customFormat="1" ht="17.100000000000001" customHeight="1">
      <c r="A564" s="1429"/>
      <c r="B564" s="1429"/>
      <c r="C564" s="2121" t="s">
        <v>755</v>
      </c>
      <c r="D564" s="2114" t="s">
        <v>747</v>
      </c>
      <c r="E564" s="2116">
        <v>650000</v>
      </c>
      <c r="F564" s="1714">
        <v>650000</v>
      </c>
      <c r="G564" s="2106">
        <v>330000</v>
      </c>
      <c r="H564" s="1716">
        <f t="shared" si="36"/>
        <v>0.50769230769230766</v>
      </c>
      <c r="J564" s="1370" t="s">
        <v>809</v>
      </c>
    </row>
    <row r="565" spans="1:10" s="1370" customFormat="1" ht="17.100000000000001" hidden="1" customHeight="1">
      <c r="A565" s="1408"/>
      <c r="B565" s="1408"/>
      <c r="C565" s="1717" t="s">
        <v>746</v>
      </c>
      <c r="D565" s="2122" t="s">
        <v>801</v>
      </c>
      <c r="E565" s="2045">
        <v>0</v>
      </c>
      <c r="F565" s="1451"/>
      <c r="G565" s="1452"/>
      <c r="H565" s="1453" t="e">
        <f t="shared" si="36"/>
        <v>#DIV/0!</v>
      </c>
    </row>
    <row r="566" spans="1:10" s="1370" customFormat="1" ht="55.5" customHeight="1">
      <c r="A566" s="1429"/>
      <c r="B566" s="1408"/>
      <c r="C566" s="2123" t="s">
        <v>449</v>
      </c>
      <c r="D566" s="2124" t="s">
        <v>842</v>
      </c>
      <c r="E566" s="2120">
        <v>205036</v>
      </c>
      <c r="F566" s="2111">
        <v>476751</v>
      </c>
      <c r="G566" s="1498">
        <v>74363</v>
      </c>
      <c r="H566" s="1716">
        <f t="shared" si="36"/>
        <v>0.15597869747520193</v>
      </c>
      <c r="J566" s="1370" t="s">
        <v>823</v>
      </c>
    </row>
    <row r="567" spans="1:10" s="1370" customFormat="1" ht="40.5" customHeight="1">
      <c r="A567" s="1429"/>
      <c r="B567" s="1429"/>
      <c r="C567" s="1778" t="s">
        <v>880</v>
      </c>
      <c r="D567" s="2125" t="s">
        <v>881</v>
      </c>
      <c r="E567" s="2116">
        <v>0</v>
      </c>
      <c r="F567" s="1714">
        <v>83794</v>
      </c>
      <c r="G567" s="2106">
        <v>0</v>
      </c>
      <c r="H567" s="1716">
        <f t="shared" si="36"/>
        <v>0</v>
      </c>
    </row>
    <row r="568" spans="1:10" s="1370" customFormat="1" ht="27.75" customHeight="1">
      <c r="A568" s="1408"/>
      <c r="B568" s="1429"/>
      <c r="C568" s="1778" t="s">
        <v>933</v>
      </c>
      <c r="D568" s="2125" t="s">
        <v>934</v>
      </c>
      <c r="E568" s="2116"/>
      <c r="F568" s="1714">
        <v>0</v>
      </c>
      <c r="G568" s="2106">
        <v>760000</v>
      </c>
      <c r="H568" s="1716"/>
      <c r="J568" s="1370" t="s">
        <v>931</v>
      </c>
    </row>
    <row r="569" spans="1:10" s="1370" customFormat="1" ht="26.25" thickBot="1">
      <c r="A569" s="1408"/>
      <c r="B569" s="1591"/>
      <c r="C569" s="2126" t="s">
        <v>935</v>
      </c>
      <c r="D569" s="2127" t="s">
        <v>875</v>
      </c>
      <c r="E569" s="1520"/>
      <c r="F569" s="1521">
        <v>12181000</v>
      </c>
      <c r="G569" s="1522">
        <v>0</v>
      </c>
      <c r="H569" s="1523"/>
    </row>
    <row r="570" spans="1:10" s="1370" customFormat="1" ht="17.25" customHeight="1" thickBot="1">
      <c r="A570" s="1408"/>
      <c r="B570" s="2128" t="s">
        <v>936</v>
      </c>
      <c r="C570" s="2129"/>
      <c r="D570" s="2130" t="s">
        <v>312</v>
      </c>
      <c r="E570" s="1803">
        <f>SUM(E571,E575)</f>
        <v>0</v>
      </c>
      <c r="F570" s="1804">
        <f>SUM(F571,F575)</f>
        <v>39000</v>
      </c>
      <c r="G570" s="1805">
        <f>SUM(G571,G575)</f>
        <v>0</v>
      </c>
      <c r="H570" s="1506">
        <f t="shared" si="36"/>
        <v>0</v>
      </c>
    </row>
    <row r="571" spans="1:10" s="1370" customFormat="1" ht="17.25" customHeight="1">
      <c r="A571" s="1408"/>
      <c r="B571" s="2131"/>
      <c r="C571" s="4853" t="s">
        <v>688</v>
      </c>
      <c r="D571" s="4874"/>
      <c r="E571" s="1815">
        <f t="shared" ref="E571:G572" si="37">SUM(E572)</f>
        <v>0</v>
      </c>
      <c r="F571" s="1816">
        <f t="shared" si="37"/>
        <v>27000</v>
      </c>
      <c r="G571" s="1817">
        <f t="shared" si="37"/>
        <v>0</v>
      </c>
      <c r="H571" s="1509">
        <f t="shared" si="36"/>
        <v>0</v>
      </c>
    </row>
    <row r="572" spans="1:10" s="1370" customFormat="1" ht="17.25" customHeight="1">
      <c r="A572" s="1408"/>
      <c r="B572" s="2131"/>
      <c r="C572" s="4875" t="s">
        <v>797</v>
      </c>
      <c r="D572" s="4876"/>
      <c r="E572" s="2120">
        <f t="shared" si="37"/>
        <v>0</v>
      </c>
      <c r="F572" s="2111">
        <f t="shared" si="37"/>
        <v>27000</v>
      </c>
      <c r="G572" s="2112">
        <f t="shared" si="37"/>
        <v>0</v>
      </c>
      <c r="H572" s="1716">
        <f t="shared" si="36"/>
        <v>0</v>
      </c>
    </row>
    <row r="573" spans="1:10" s="1370" customFormat="1" ht="44.25" customHeight="1">
      <c r="A573" s="1408"/>
      <c r="B573" s="2131"/>
      <c r="C573" s="1778" t="s">
        <v>353</v>
      </c>
      <c r="D573" s="2125" t="s">
        <v>932</v>
      </c>
      <c r="E573" s="2116">
        <v>0</v>
      </c>
      <c r="F573" s="1714">
        <v>27000</v>
      </c>
      <c r="G573" s="2106">
        <v>0</v>
      </c>
      <c r="H573" s="1716">
        <f t="shared" si="36"/>
        <v>0</v>
      </c>
    </row>
    <row r="574" spans="1:10" s="1370" customFormat="1" ht="12.75" customHeight="1" thickBot="1">
      <c r="A574" s="1516"/>
      <c r="B574" s="2132"/>
      <c r="C574" s="2133"/>
      <c r="D574" s="2134"/>
      <c r="E574" s="1464"/>
      <c r="F574" s="1538"/>
      <c r="G574" s="1539"/>
      <c r="H574" s="1540"/>
    </row>
    <row r="575" spans="1:10" s="1370" customFormat="1" ht="13.5" customHeight="1">
      <c r="A575" s="1585"/>
      <c r="B575" s="1585"/>
      <c r="C575" s="4877" t="s">
        <v>744</v>
      </c>
      <c r="D575" s="4878"/>
      <c r="E575" s="2135">
        <f>SUM(E576)</f>
        <v>0</v>
      </c>
      <c r="F575" s="2136">
        <f>SUM(F576)</f>
        <v>12000</v>
      </c>
      <c r="G575" s="2137">
        <f>SUM(G576)</f>
        <v>0</v>
      </c>
      <c r="H575" s="1420">
        <f t="shared" ref="H575:H590" si="38">G575/F575</f>
        <v>0</v>
      </c>
    </row>
    <row r="576" spans="1:10" s="1370" customFormat="1" ht="16.5" customHeight="1">
      <c r="A576" s="1408"/>
      <c r="B576" s="1408"/>
      <c r="C576" s="4875" t="s">
        <v>745</v>
      </c>
      <c r="D576" s="4879"/>
      <c r="E576" s="2116">
        <f>SUM(E579)</f>
        <v>0</v>
      </c>
      <c r="F576" s="1714">
        <f>SUM(F579)</f>
        <v>12000</v>
      </c>
      <c r="G576" s="2138">
        <f>SUM(G579)</f>
        <v>0</v>
      </c>
      <c r="H576" s="1716">
        <f t="shared" si="38"/>
        <v>0</v>
      </c>
    </row>
    <row r="577" spans="1:10" s="1370" customFormat="1" ht="55.5" hidden="1" customHeight="1">
      <c r="A577" s="1408"/>
      <c r="B577" s="1408"/>
      <c r="C577" s="1778" t="s">
        <v>449</v>
      </c>
      <c r="D577" s="2125" t="s">
        <v>842</v>
      </c>
      <c r="E577" s="2120">
        <v>0</v>
      </c>
      <c r="F577" s="1714"/>
      <c r="G577" s="2106"/>
      <c r="H577" s="1716" t="e">
        <f t="shared" si="38"/>
        <v>#DIV/0!</v>
      </c>
    </row>
    <row r="578" spans="1:10" s="1370" customFormat="1" ht="39" hidden="1" thickBot="1">
      <c r="A578" s="1408"/>
      <c r="B578" s="1408"/>
      <c r="C578" s="2133" t="s">
        <v>880</v>
      </c>
      <c r="D578" s="2139" t="s">
        <v>881</v>
      </c>
      <c r="E578" s="2140">
        <v>0</v>
      </c>
      <c r="F578" s="2141"/>
      <c r="G578" s="2142"/>
      <c r="H578" s="2143" t="e">
        <f t="shared" si="38"/>
        <v>#DIV/0!</v>
      </c>
    </row>
    <row r="579" spans="1:10" s="1370" customFormat="1" ht="46.5" customHeight="1" thickBot="1">
      <c r="A579" s="1516"/>
      <c r="B579" s="1591"/>
      <c r="C579" s="2144" t="s">
        <v>880</v>
      </c>
      <c r="D579" s="2145" t="s">
        <v>881</v>
      </c>
      <c r="E579" s="1520">
        <v>0</v>
      </c>
      <c r="F579" s="1538">
        <v>12000</v>
      </c>
      <c r="G579" s="2146">
        <v>0</v>
      </c>
      <c r="H579" s="1540">
        <f t="shared" si="38"/>
        <v>0</v>
      </c>
    </row>
    <row r="580" spans="1:10" s="1370" customFormat="1" ht="17.100000000000001" customHeight="1" thickBot="1">
      <c r="A580" s="1595" t="s">
        <v>937</v>
      </c>
      <c r="B580" s="1596"/>
      <c r="C580" s="1597"/>
      <c r="D580" s="1598" t="s">
        <v>938</v>
      </c>
      <c r="E580" s="1599">
        <f>SUM(E581,E617,E621,E667)</f>
        <v>8883627</v>
      </c>
      <c r="F580" s="1600">
        <f>SUM(F581,F617,F621,F667)</f>
        <v>9275267</v>
      </c>
      <c r="G580" s="1601">
        <f>SUM(G581,G617,G621,G667)</f>
        <v>470250</v>
      </c>
      <c r="H580" s="1602">
        <f t="shared" si="38"/>
        <v>5.0699349140030145E-2</v>
      </c>
    </row>
    <row r="581" spans="1:10" s="1370" customFormat="1" ht="17.100000000000001" customHeight="1" thickBot="1">
      <c r="A581" s="1585"/>
      <c r="B581" s="1500" t="s">
        <v>939</v>
      </c>
      <c r="C581" s="1501"/>
      <c r="D581" s="1502" t="s">
        <v>411</v>
      </c>
      <c r="E581" s="1503">
        <f>SUM(E582)</f>
        <v>4044710</v>
      </c>
      <c r="F581" s="1504">
        <f>SUM(F582)</f>
        <v>2437210</v>
      </c>
      <c r="G581" s="1505">
        <f>SUM(G582)</f>
        <v>0</v>
      </c>
      <c r="H581" s="1506">
        <f t="shared" si="38"/>
        <v>0</v>
      </c>
    </row>
    <row r="582" spans="1:10" s="1370" customFormat="1" ht="17.100000000000001" customHeight="1">
      <c r="A582" s="1408"/>
      <c r="B582" s="1429"/>
      <c r="C582" s="4880" t="s">
        <v>688</v>
      </c>
      <c r="D582" s="4880"/>
      <c r="E582" s="1970">
        <f>SUM(E583,E611)</f>
        <v>4044710</v>
      </c>
      <c r="F582" s="1418">
        <f>SUM(F583,F611)</f>
        <v>2437210</v>
      </c>
      <c r="G582" s="2147">
        <f>SUM(G583,G611)</f>
        <v>0</v>
      </c>
      <c r="H582" s="1509">
        <f t="shared" si="38"/>
        <v>0</v>
      </c>
      <c r="J582" s="1370" t="s">
        <v>940</v>
      </c>
    </row>
    <row r="583" spans="1:10" s="1370" customFormat="1" ht="17.100000000000001" customHeight="1">
      <c r="A583" s="1408"/>
      <c r="B583" s="1429"/>
      <c r="C583" s="4881" t="s">
        <v>689</v>
      </c>
      <c r="D583" s="4881"/>
      <c r="E583" s="2148">
        <f>SUM(E584,E592)</f>
        <v>4037010</v>
      </c>
      <c r="F583" s="2141">
        <f>SUM(F584,F592)</f>
        <v>2429510</v>
      </c>
      <c r="G583" s="2149">
        <f>SUM(G584,G592)</f>
        <v>0</v>
      </c>
      <c r="H583" s="2143">
        <f t="shared" si="38"/>
        <v>0</v>
      </c>
    </row>
    <row r="584" spans="1:10" s="1370" customFormat="1" ht="17.100000000000001" customHeight="1">
      <c r="A584" s="1408"/>
      <c r="B584" s="1429"/>
      <c r="C584" s="4864" t="s">
        <v>690</v>
      </c>
      <c r="D584" s="4864"/>
      <c r="E584" s="2150">
        <f>SUM(E585:E590)</f>
        <v>3472460</v>
      </c>
      <c r="F584" s="2151">
        <f>SUM(F585:F590)</f>
        <v>1992460</v>
      </c>
      <c r="G584" s="2152">
        <f>SUM(G585:G590)</f>
        <v>0</v>
      </c>
      <c r="H584" s="2153">
        <f t="shared" si="38"/>
        <v>0</v>
      </c>
    </row>
    <row r="585" spans="1:10" s="1370" customFormat="1" ht="17.100000000000001" customHeight="1">
      <c r="A585" s="1408"/>
      <c r="B585" s="1429"/>
      <c r="C585" s="2154" t="s">
        <v>692</v>
      </c>
      <c r="D585" s="2155" t="s">
        <v>693</v>
      </c>
      <c r="E585" s="2148">
        <v>2703000</v>
      </c>
      <c r="F585" s="2141">
        <v>1323000</v>
      </c>
      <c r="G585" s="2142">
        <v>0</v>
      </c>
      <c r="H585" s="2143">
        <f t="shared" si="38"/>
        <v>0</v>
      </c>
    </row>
    <row r="586" spans="1:10" s="1370" customFormat="1" ht="17.100000000000001" customHeight="1">
      <c r="A586" s="1408"/>
      <c r="B586" s="1429"/>
      <c r="C586" s="2154" t="s">
        <v>694</v>
      </c>
      <c r="D586" s="2155" t="s">
        <v>695</v>
      </c>
      <c r="E586" s="2148">
        <v>212000</v>
      </c>
      <c r="F586" s="2141">
        <v>313370</v>
      </c>
      <c r="G586" s="2142">
        <v>0</v>
      </c>
      <c r="H586" s="2143">
        <f t="shared" si="38"/>
        <v>0</v>
      </c>
    </row>
    <row r="587" spans="1:10" s="1370" customFormat="1" ht="17.100000000000001" customHeight="1">
      <c r="A587" s="1408"/>
      <c r="B587" s="1429"/>
      <c r="C587" s="2154" t="s">
        <v>696</v>
      </c>
      <c r="D587" s="2155" t="s">
        <v>697</v>
      </c>
      <c r="E587" s="2148">
        <v>480000</v>
      </c>
      <c r="F587" s="2141">
        <v>276850</v>
      </c>
      <c r="G587" s="2142">
        <v>0</v>
      </c>
      <c r="H587" s="2143">
        <f t="shared" si="38"/>
        <v>0</v>
      </c>
    </row>
    <row r="588" spans="1:10" s="1370" customFormat="1" ht="16.5" customHeight="1">
      <c r="A588" s="1408"/>
      <c r="B588" s="1429"/>
      <c r="C588" s="2154" t="s">
        <v>698</v>
      </c>
      <c r="D588" s="2155" t="s">
        <v>699</v>
      </c>
      <c r="E588" s="2148">
        <v>57000</v>
      </c>
      <c r="F588" s="2141">
        <v>36530</v>
      </c>
      <c r="G588" s="2142">
        <v>0</v>
      </c>
      <c r="H588" s="2143">
        <f t="shared" si="38"/>
        <v>0</v>
      </c>
    </row>
    <row r="589" spans="1:10" s="1370" customFormat="1" ht="17.100000000000001" customHeight="1">
      <c r="A589" s="1408"/>
      <c r="B589" s="1429"/>
      <c r="C589" s="2154" t="s">
        <v>700</v>
      </c>
      <c r="D589" s="2155" t="s">
        <v>701</v>
      </c>
      <c r="E589" s="2148">
        <v>7000</v>
      </c>
      <c r="F589" s="2141">
        <v>29250</v>
      </c>
      <c r="G589" s="2142">
        <v>0</v>
      </c>
      <c r="H589" s="2143">
        <f t="shared" si="38"/>
        <v>0</v>
      </c>
    </row>
    <row r="590" spans="1:10" s="1370" customFormat="1" ht="17.100000000000001" customHeight="1">
      <c r="A590" s="1408"/>
      <c r="B590" s="1429"/>
      <c r="C590" s="2156" t="s">
        <v>702</v>
      </c>
      <c r="D590" s="2155" t="s">
        <v>703</v>
      </c>
      <c r="E590" s="2148">
        <v>13460</v>
      </c>
      <c r="F590" s="2141">
        <v>13460</v>
      </c>
      <c r="G590" s="2142">
        <v>0</v>
      </c>
      <c r="H590" s="2143">
        <f t="shared" si="38"/>
        <v>0</v>
      </c>
    </row>
    <row r="591" spans="1:10" s="1370" customFormat="1" ht="17.100000000000001" customHeight="1">
      <c r="A591" s="1408"/>
      <c r="B591" s="1429"/>
      <c r="C591" s="1470"/>
      <c r="D591" s="1470"/>
      <c r="E591" s="1454"/>
      <c r="F591" s="2141"/>
      <c r="G591" s="2142"/>
      <c r="H591" s="2143"/>
    </row>
    <row r="592" spans="1:10" s="1370" customFormat="1" ht="17.100000000000001" customHeight="1">
      <c r="A592" s="1408"/>
      <c r="B592" s="1429"/>
      <c r="C592" s="4865" t="s">
        <v>704</v>
      </c>
      <c r="D592" s="4865"/>
      <c r="E592" s="2150">
        <f>SUM(E593:E609)</f>
        <v>564550</v>
      </c>
      <c r="F592" s="2151">
        <f>SUM(F593:F609)</f>
        <v>437050</v>
      </c>
      <c r="G592" s="2152">
        <f>SUM(G593:G609)</f>
        <v>0</v>
      </c>
      <c r="H592" s="2153">
        <f>G592/F592</f>
        <v>0</v>
      </c>
    </row>
    <row r="593" spans="1:8" s="1370" customFormat="1" ht="17.25" customHeight="1">
      <c r="A593" s="1408"/>
      <c r="B593" s="1429"/>
      <c r="C593" s="2157" t="s">
        <v>705</v>
      </c>
      <c r="D593" s="2158" t="s">
        <v>706</v>
      </c>
      <c r="E593" s="2148">
        <v>20800</v>
      </c>
      <c r="F593" s="2141">
        <v>10800</v>
      </c>
      <c r="G593" s="2142">
        <v>0</v>
      </c>
      <c r="H593" s="2143">
        <f>G593/F593</f>
        <v>0</v>
      </c>
    </row>
    <row r="594" spans="1:8" s="1370" customFormat="1" ht="17.100000000000001" customHeight="1">
      <c r="A594" s="1408"/>
      <c r="B594" s="1429"/>
      <c r="C594" s="2159" t="s">
        <v>707</v>
      </c>
      <c r="D594" s="2160" t="s">
        <v>708</v>
      </c>
      <c r="E594" s="2148">
        <v>95540</v>
      </c>
      <c r="F594" s="2141">
        <v>65540</v>
      </c>
      <c r="G594" s="2142">
        <v>0</v>
      </c>
      <c r="H594" s="2143">
        <f>G594/F594</f>
        <v>0</v>
      </c>
    </row>
    <row r="595" spans="1:8" s="1370" customFormat="1" ht="18" customHeight="1">
      <c r="A595" s="1429"/>
      <c r="B595" s="1429"/>
      <c r="C595" s="2161" t="s">
        <v>709</v>
      </c>
      <c r="D595" s="2162" t="s">
        <v>941</v>
      </c>
      <c r="E595" s="2061">
        <v>1500</v>
      </c>
      <c r="F595" s="1451">
        <v>1500</v>
      </c>
      <c r="G595" s="2163">
        <v>0</v>
      </c>
      <c r="H595" s="1453">
        <f>G595/F595</f>
        <v>0</v>
      </c>
    </row>
    <row r="596" spans="1:8" s="1370" customFormat="1" ht="17.100000000000001" customHeight="1">
      <c r="A596" s="1408"/>
      <c r="B596" s="1429"/>
      <c r="C596" s="2154" t="s">
        <v>942</v>
      </c>
      <c r="D596" s="2155" t="s">
        <v>943</v>
      </c>
      <c r="E596" s="2148">
        <v>1500</v>
      </c>
      <c r="F596" s="2141">
        <v>0</v>
      </c>
      <c r="G596" s="2142">
        <v>0</v>
      </c>
      <c r="H596" s="2143"/>
    </row>
    <row r="597" spans="1:8" s="1370" customFormat="1" ht="17.100000000000001" customHeight="1">
      <c r="A597" s="1408"/>
      <c r="B597" s="1429"/>
      <c r="C597" s="2154" t="s">
        <v>711</v>
      </c>
      <c r="D597" s="2155" t="s">
        <v>712</v>
      </c>
      <c r="E597" s="2148">
        <v>133800</v>
      </c>
      <c r="F597" s="2141">
        <v>133800</v>
      </c>
      <c r="G597" s="2142">
        <v>0</v>
      </c>
      <c r="H597" s="2143">
        <f t="shared" ref="H597:H609" si="39">G597/F597</f>
        <v>0</v>
      </c>
    </row>
    <row r="598" spans="1:8" s="1370" customFormat="1" ht="17.100000000000001" customHeight="1">
      <c r="A598" s="1408"/>
      <c r="B598" s="1429"/>
      <c r="C598" s="2154" t="s">
        <v>713</v>
      </c>
      <c r="D598" s="2155" t="s">
        <v>714</v>
      </c>
      <c r="E598" s="2148">
        <v>18320</v>
      </c>
      <c r="F598" s="2141">
        <v>8320</v>
      </c>
      <c r="G598" s="2142">
        <v>0</v>
      </c>
      <c r="H598" s="2143">
        <f t="shared" si="39"/>
        <v>0</v>
      </c>
    </row>
    <row r="599" spans="1:8" s="1370" customFormat="1" ht="17.100000000000001" customHeight="1">
      <c r="A599" s="1408"/>
      <c r="B599" s="1429"/>
      <c r="C599" s="2154" t="s">
        <v>715</v>
      </c>
      <c r="D599" s="2155" t="s">
        <v>716</v>
      </c>
      <c r="E599" s="2148">
        <v>8350</v>
      </c>
      <c r="F599" s="2141">
        <v>6350</v>
      </c>
      <c r="G599" s="2142">
        <v>0</v>
      </c>
      <c r="H599" s="2143">
        <f t="shared" si="39"/>
        <v>0</v>
      </c>
    </row>
    <row r="600" spans="1:8" s="1370" customFormat="1" ht="17.100000000000001" customHeight="1">
      <c r="A600" s="1408"/>
      <c r="B600" s="1429"/>
      <c r="C600" s="2154" t="s">
        <v>717</v>
      </c>
      <c r="D600" s="2155" t="s">
        <v>718</v>
      </c>
      <c r="E600" s="2148">
        <v>145500</v>
      </c>
      <c r="F600" s="2141">
        <v>95500</v>
      </c>
      <c r="G600" s="2142">
        <v>0</v>
      </c>
      <c r="H600" s="2143">
        <f t="shared" si="39"/>
        <v>0</v>
      </c>
    </row>
    <row r="601" spans="1:8" s="1370" customFormat="1" ht="16.5" customHeight="1">
      <c r="A601" s="1408"/>
      <c r="B601" s="1429"/>
      <c r="C601" s="2154" t="s">
        <v>719</v>
      </c>
      <c r="D601" s="2155" t="s">
        <v>720</v>
      </c>
      <c r="E601" s="2148">
        <v>12000</v>
      </c>
      <c r="F601" s="2141">
        <v>6000</v>
      </c>
      <c r="G601" s="2142">
        <v>0</v>
      </c>
      <c r="H601" s="2143">
        <f t="shared" si="39"/>
        <v>0</v>
      </c>
    </row>
    <row r="602" spans="1:8" s="1370" customFormat="1" ht="25.5" hidden="1" customHeight="1">
      <c r="A602" s="1408"/>
      <c r="B602" s="1429"/>
      <c r="C602" s="2154" t="s">
        <v>723</v>
      </c>
      <c r="D602" s="2155" t="s">
        <v>724</v>
      </c>
      <c r="E602" s="2148">
        <v>0</v>
      </c>
      <c r="F602" s="2141"/>
      <c r="G602" s="2142"/>
      <c r="H602" s="2143" t="e">
        <f t="shared" si="39"/>
        <v>#DIV/0!</v>
      </c>
    </row>
    <row r="603" spans="1:8" s="1370" customFormat="1" ht="17.100000000000001" customHeight="1">
      <c r="A603" s="1429"/>
      <c r="B603" s="1429"/>
      <c r="C603" s="2159" t="s">
        <v>725</v>
      </c>
      <c r="D603" s="2160" t="s">
        <v>726</v>
      </c>
      <c r="E603" s="2148">
        <v>5000</v>
      </c>
      <c r="F603" s="2141">
        <v>5000</v>
      </c>
      <c r="G603" s="2142">
        <v>0</v>
      </c>
      <c r="H603" s="2143">
        <f t="shared" si="39"/>
        <v>0</v>
      </c>
    </row>
    <row r="604" spans="1:8" s="1370" customFormat="1" ht="17.100000000000001" hidden="1" customHeight="1">
      <c r="A604" s="1408"/>
      <c r="B604" s="1429"/>
      <c r="C604" s="1717" t="s">
        <v>865</v>
      </c>
      <c r="D604" s="1479" t="s">
        <v>866</v>
      </c>
      <c r="E604" s="1457">
        <v>0</v>
      </c>
      <c r="F604" s="2141"/>
      <c r="G604" s="2142"/>
      <c r="H604" s="2143" t="e">
        <f t="shared" si="39"/>
        <v>#DIV/0!</v>
      </c>
    </row>
    <row r="605" spans="1:8" s="1370" customFormat="1" ht="17.100000000000001" customHeight="1">
      <c r="A605" s="1429"/>
      <c r="B605" s="1429"/>
      <c r="C605" s="2164" t="s">
        <v>727</v>
      </c>
      <c r="D605" s="2165" t="s">
        <v>728</v>
      </c>
      <c r="E605" s="2166">
        <v>6150</v>
      </c>
      <c r="F605" s="2141">
        <v>3150</v>
      </c>
      <c r="G605" s="2142">
        <v>0</v>
      </c>
      <c r="H605" s="2143">
        <f t="shared" si="39"/>
        <v>0</v>
      </c>
    </row>
    <row r="606" spans="1:8" s="1370" customFormat="1" ht="17.100000000000001" customHeight="1">
      <c r="A606" s="1408"/>
      <c r="B606" s="1408"/>
      <c r="C606" s="2159" t="s">
        <v>729</v>
      </c>
      <c r="D606" s="2167" t="s">
        <v>730</v>
      </c>
      <c r="E606" s="2166">
        <v>85650</v>
      </c>
      <c r="F606" s="2141">
        <v>85650</v>
      </c>
      <c r="G606" s="2142">
        <v>0</v>
      </c>
      <c r="H606" s="2143">
        <f t="shared" si="39"/>
        <v>0</v>
      </c>
    </row>
    <row r="607" spans="1:8" s="1370" customFormat="1" ht="17.100000000000001" customHeight="1">
      <c r="A607" s="1429"/>
      <c r="B607" s="1429"/>
      <c r="C607" s="2168" t="s">
        <v>731</v>
      </c>
      <c r="D607" s="2169" t="s">
        <v>732</v>
      </c>
      <c r="E607" s="2061">
        <v>8800</v>
      </c>
      <c r="F607" s="1451">
        <v>3800</v>
      </c>
      <c r="G607" s="1452">
        <v>0</v>
      </c>
      <c r="H607" s="1453">
        <f t="shared" si="39"/>
        <v>0</v>
      </c>
    </row>
    <row r="608" spans="1:8" s="1370" customFormat="1" ht="17.100000000000001" customHeight="1">
      <c r="A608" s="1408"/>
      <c r="B608" s="1408"/>
      <c r="C608" s="2159" t="s">
        <v>735</v>
      </c>
      <c r="D608" s="2167" t="s">
        <v>736</v>
      </c>
      <c r="E608" s="2166">
        <v>11040</v>
      </c>
      <c r="F608" s="2141">
        <v>11040</v>
      </c>
      <c r="G608" s="2142">
        <v>0</v>
      </c>
      <c r="H608" s="2143">
        <f t="shared" si="39"/>
        <v>0</v>
      </c>
    </row>
    <row r="609" spans="1:10" s="1370" customFormat="1" ht="19.5" customHeight="1">
      <c r="A609" s="1408"/>
      <c r="B609" s="1408"/>
      <c r="C609" s="2168" t="s">
        <v>739</v>
      </c>
      <c r="D609" s="2169" t="s">
        <v>740</v>
      </c>
      <c r="E609" s="2166">
        <v>10600</v>
      </c>
      <c r="F609" s="2141">
        <v>600</v>
      </c>
      <c r="G609" s="2142">
        <v>0</v>
      </c>
      <c r="H609" s="2143">
        <f t="shared" si="39"/>
        <v>0</v>
      </c>
    </row>
    <row r="610" spans="1:10" s="1370" customFormat="1" ht="17.100000000000001" customHeight="1">
      <c r="A610" s="1408"/>
      <c r="B610" s="1408"/>
      <c r="C610" s="2170"/>
      <c r="D610" s="2171"/>
      <c r="E610" s="1454"/>
      <c r="F610" s="2141"/>
      <c r="G610" s="2142"/>
      <c r="H610" s="2143"/>
    </row>
    <row r="611" spans="1:10" s="1370" customFormat="1" ht="17.100000000000001" customHeight="1">
      <c r="A611" s="1408"/>
      <c r="B611" s="1408"/>
      <c r="C611" s="4866" t="s">
        <v>741</v>
      </c>
      <c r="D611" s="4867"/>
      <c r="E611" s="2166">
        <f>SUM(E612)</f>
        <v>7700</v>
      </c>
      <c r="F611" s="2141">
        <f>SUM(F612)</f>
        <v>7700</v>
      </c>
      <c r="G611" s="2172">
        <f>SUM(G612)</f>
        <v>0</v>
      </c>
      <c r="H611" s="2143">
        <f t="shared" ref="H611:H630" si="40">G611/F611</f>
        <v>0</v>
      </c>
    </row>
    <row r="612" spans="1:10" s="1370" customFormat="1" ht="18.75" customHeight="1" thickBot="1">
      <c r="A612" s="1408"/>
      <c r="B612" s="1408"/>
      <c r="C612" s="2173" t="s">
        <v>742</v>
      </c>
      <c r="D612" s="2174" t="s">
        <v>743</v>
      </c>
      <c r="E612" s="2120">
        <v>7700</v>
      </c>
      <c r="F612" s="1714">
        <v>7700</v>
      </c>
      <c r="G612" s="2106">
        <v>0</v>
      </c>
      <c r="H612" s="1716">
        <f t="shared" si="40"/>
        <v>0</v>
      </c>
    </row>
    <row r="613" spans="1:10" s="1370" customFormat="1" ht="15.75" hidden="1" customHeight="1" thickBot="1">
      <c r="A613" s="1408"/>
      <c r="B613" s="1408"/>
      <c r="C613" s="4868"/>
      <c r="D613" s="4869"/>
      <c r="E613" s="2175"/>
      <c r="F613" s="1714"/>
      <c r="G613" s="2106"/>
      <c r="H613" s="1716" t="e">
        <f t="shared" si="40"/>
        <v>#DIV/0!</v>
      </c>
    </row>
    <row r="614" spans="1:10" s="1370" customFormat="1" ht="18" hidden="1" customHeight="1" thickBot="1">
      <c r="A614" s="1408"/>
      <c r="B614" s="1408"/>
      <c r="C614" s="4870" t="s">
        <v>744</v>
      </c>
      <c r="D614" s="4871"/>
      <c r="E614" s="2176">
        <v>0</v>
      </c>
      <c r="F614" s="1714"/>
      <c r="G614" s="2106"/>
      <c r="H614" s="1716" t="e">
        <f t="shared" si="40"/>
        <v>#DIV/0!</v>
      </c>
    </row>
    <row r="615" spans="1:10" s="1370" customFormat="1" ht="16.5" hidden="1" customHeight="1" thickBot="1">
      <c r="A615" s="1408"/>
      <c r="B615" s="1408"/>
      <c r="C615" s="4872" t="s">
        <v>869</v>
      </c>
      <c r="D615" s="4873"/>
      <c r="E615" s="2120">
        <v>0</v>
      </c>
      <c r="F615" s="1714"/>
      <c r="G615" s="2106"/>
      <c r="H615" s="1716" t="e">
        <f t="shared" si="40"/>
        <v>#DIV/0!</v>
      </c>
    </row>
    <row r="616" spans="1:10" s="1370" customFormat="1" ht="21" hidden="1" customHeight="1" thickBot="1">
      <c r="A616" s="1408"/>
      <c r="B616" s="1408"/>
      <c r="C616" s="2113" t="s">
        <v>755</v>
      </c>
      <c r="D616" s="2177" t="s">
        <v>747</v>
      </c>
      <c r="E616" s="2120">
        <v>0</v>
      </c>
      <c r="F616" s="1714"/>
      <c r="G616" s="2106"/>
      <c r="H616" s="2178" t="e">
        <f t="shared" si="40"/>
        <v>#DIV/0!</v>
      </c>
    </row>
    <row r="617" spans="1:10" s="1370" customFormat="1" ht="18.75" customHeight="1" thickBot="1">
      <c r="A617" s="1408"/>
      <c r="B617" s="2179" t="s">
        <v>944</v>
      </c>
      <c r="C617" s="2180"/>
      <c r="D617" s="2181" t="s">
        <v>945</v>
      </c>
      <c r="E617" s="1803">
        <f t="shared" ref="E617:G619" si="41">SUM(E618)</f>
        <v>0</v>
      </c>
      <c r="F617" s="1804">
        <f t="shared" si="41"/>
        <v>58500</v>
      </c>
      <c r="G617" s="1805">
        <f t="shared" si="41"/>
        <v>71500</v>
      </c>
      <c r="H617" s="1506">
        <f t="shared" si="40"/>
        <v>1.2222222222222223</v>
      </c>
    </row>
    <row r="618" spans="1:10" s="1370" customFormat="1" ht="18" customHeight="1">
      <c r="A618" s="1408"/>
      <c r="B618" s="1524"/>
      <c r="C618" s="4853" t="s">
        <v>688</v>
      </c>
      <c r="D618" s="4859"/>
      <c r="E618" s="1925">
        <f t="shared" si="41"/>
        <v>0</v>
      </c>
      <c r="F618" s="1418">
        <f t="shared" si="41"/>
        <v>58500</v>
      </c>
      <c r="G618" s="1926">
        <f t="shared" si="41"/>
        <v>71500</v>
      </c>
      <c r="H618" s="1509">
        <f t="shared" si="40"/>
        <v>1.2222222222222223</v>
      </c>
    </row>
    <row r="619" spans="1:10" s="1370" customFormat="1" ht="17.25" customHeight="1">
      <c r="A619" s="1408"/>
      <c r="B619" s="1429"/>
      <c r="C619" s="4762" t="s">
        <v>797</v>
      </c>
      <c r="D619" s="4860"/>
      <c r="E619" s="2166">
        <f t="shared" si="41"/>
        <v>0</v>
      </c>
      <c r="F619" s="2141">
        <f t="shared" si="41"/>
        <v>58500</v>
      </c>
      <c r="G619" s="2172">
        <f t="shared" si="41"/>
        <v>71500</v>
      </c>
      <c r="H619" s="2143">
        <f t="shared" si="40"/>
        <v>1.2222222222222223</v>
      </c>
      <c r="J619" s="1370" t="s">
        <v>940</v>
      </c>
    </row>
    <row r="620" spans="1:10" s="1370" customFormat="1" ht="47.25" customHeight="1" thickBot="1">
      <c r="A620" s="1408"/>
      <c r="B620" s="1591"/>
      <c r="C620" s="2182" t="s">
        <v>353</v>
      </c>
      <c r="D620" s="2183" t="s">
        <v>932</v>
      </c>
      <c r="E620" s="2140">
        <v>0</v>
      </c>
      <c r="F620" s="1538">
        <v>58500</v>
      </c>
      <c r="G620" s="2146">
        <v>71500</v>
      </c>
      <c r="H620" s="2178">
        <f t="shared" si="40"/>
        <v>1.2222222222222223</v>
      </c>
    </row>
    <row r="621" spans="1:10" s="1370" customFormat="1" ht="17.100000000000001" customHeight="1" thickBot="1">
      <c r="A621" s="1408"/>
      <c r="B621" s="1541" t="s">
        <v>946</v>
      </c>
      <c r="C621" s="1542"/>
      <c r="D621" s="2184" t="s">
        <v>414</v>
      </c>
      <c r="E621" s="1544">
        <f>SUM(E622)</f>
        <v>4838917</v>
      </c>
      <c r="F621" s="1545">
        <f>SUM(F622)</f>
        <v>6767557</v>
      </c>
      <c r="G621" s="1546">
        <f>SUM(G622)</f>
        <v>398750</v>
      </c>
      <c r="H621" s="1506">
        <f t="shared" si="40"/>
        <v>5.8920818842013445E-2</v>
      </c>
    </row>
    <row r="622" spans="1:10" s="1370" customFormat="1" ht="17.100000000000001" customHeight="1">
      <c r="A622" s="1408"/>
      <c r="B622" s="1429"/>
      <c r="C622" s="4861" t="s">
        <v>688</v>
      </c>
      <c r="D622" s="4861"/>
      <c r="E622" s="2185">
        <f>SUM(E623,E650)</f>
        <v>4838917</v>
      </c>
      <c r="F622" s="2102">
        <f>SUM(F623,F650)</f>
        <v>6767557</v>
      </c>
      <c r="G622" s="1926">
        <f>SUM(G623,G650)</f>
        <v>398750</v>
      </c>
      <c r="H622" s="1509">
        <f t="shared" si="40"/>
        <v>5.8920818842013445E-2</v>
      </c>
      <c r="J622" s="1370" t="s">
        <v>691</v>
      </c>
    </row>
    <row r="623" spans="1:10" s="1370" customFormat="1" ht="17.100000000000001" customHeight="1">
      <c r="A623" s="1408"/>
      <c r="B623" s="1429"/>
      <c r="C623" s="4835" t="s">
        <v>689</v>
      </c>
      <c r="D623" s="4835"/>
      <c r="E623" s="2166">
        <f>SUM(E624,E632)</f>
        <v>443000</v>
      </c>
      <c r="F623" s="2141">
        <f>SUM(F624,F632)</f>
        <v>443000</v>
      </c>
      <c r="G623" s="2172">
        <f>SUM(G624,G632)</f>
        <v>398750</v>
      </c>
      <c r="H623" s="2143">
        <f t="shared" si="40"/>
        <v>0.90011286681715574</v>
      </c>
    </row>
    <row r="624" spans="1:10" s="1370" customFormat="1" ht="17.100000000000001" customHeight="1">
      <c r="A624" s="1408"/>
      <c r="B624" s="1429"/>
      <c r="C624" s="4862" t="s">
        <v>690</v>
      </c>
      <c r="D624" s="4862"/>
      <c r="E624" s="2186">
        <f>SUM(E625:E628)</f>
        <v>338000</v>
      </c>
      <c r="F624" s="2151">
        <f>SUM(F625:F628)</f>
        <v>338000</v>
      </c>
      <c r="G624" s="2187">
        <f>SUM(G625:G628)</f>
        <v>287000</v>
      </c>
      <c r="H624" s="2153">
        <f t="shared" si="40"/>
        <v>0.84911242603550297</v>
      </c>
    </row>
    <row r="625" spans="1:10" s="1370" customFormat="1" ht="17.100000000000001" customHeight="1">
      <c r="A625" s="1408"/>
      <c r="B625" s="1429"/>
      <c r="C625" s="2188" t="s">
        <v>692</v>
      </c>
      <c r="D625" s="2108" t="s">
        <v>693</v>
      </c>
      <c r="E625" s="2166">
        <v>280780</v>
      </c>
      <c r="F625" s="2141">
        <v>280780</v>
      </c>
      <c r="G625" s="2142">
        <v>238410</v>
      </c>
      <c r="H625" s="2143">
        <f t="shared" si="40"/>
        <v>0.84909893867084552</v>
      </c>
    </row>
    <row r="626" spans="1:10" s="1370" customFormat="1" ht="17.100000000000001" hidden="1" customHeight="1">
      <c r="A626" s="1408"/>
      <c r="B626" s="1429"/>
      <c r="C626" s="2188" t="s">
        <v>694</v>
      </c>
      <c r="D626" s="2108" t="s">
        <v>695</v>
      </c>
      <c r="E626" s="2166">
        <v>0</v>
      </c>
      <c r="F626" s="2141"/>
      <c r="G626" s="2142"/>
      <c r="H626" s="2143" t="e">
        <f t="shared" si="40"/>
        <v>#DIV/0!</v>
      </c>
    </row>
    <row r="627" spans="1:10" s="1370" customFormat="1" ht="17.100000000000001" customHeight="1">
      <c r="A627" s="1408"/>
      <c r="B627" s="1429"/>
      <c r="C627" s="2188" t="s">
        <v>696</v>
      </c>
      <c r="D627" s="2108" t="s">
        <v>697</v>
      </c>
      <c r="E627" s="2166">
        <v>50340</v>
      </c>
      <c r="F627" s="2141">
        <v>50340</v>
      </c>
      <c r="G627" s="2142">
        <v>42740</v>
      </c>
      <c r="H627" s="2143">
        <f t="shared" si="40"/>
        <v>0.84902661899086218</v>
      </c>
    </row>
    <row r="628" spans="1:10" s="1370" customFormat="1" ht="27" customHeight="1">
      <c r="A628" s="1408"/>
      <c r="B628" s="1429"/>
      <c r="C628" s="2188" t="s">
        <v>698</v>
      </c>
      <c r="D628" s="2108" t="s">
        <v>699</v>
      </c>
      <c r="E628" s="2166">
        <v>6880</v>
      </c>
      <c r="F628" s="2141">
        <v>6880</v>
      </c>
      <c r="G628" s="2142">
        <v>5850</v>
      </c>
      <c r="H628" s="2143">
        <f t="shared" si="40"/>
        <v>0.85029069767441856</v>
      </c>
      <c r="J628" s="2189"/>
    </row>
    <row r="629" spans="1:10" s="1370" customFormat="1" ht="17.100000000000001" hidden="1" customHeight="1">
      <c r="A629" s="1408"/>
      <c r="B629" s="1429"/>
      <c r="C629" s="2188" t="s">
        <v>700</v>
      </c>
      <c r="D629" s="2108" t="s">
        <v>701</v>
      </c>
      <c r="E629" s="2166">
        <v>0</v>
      </c>
      <c r="F629" s="2141"/>
      <c r="G629" s="2142"/>
      <c r="H629" s="2143" t="e">
        <f t="shared" si="40"/>
        <v>#DIV/0!</v>
      </c>
    </row>
    <row r="630" spans="1:10" s="1370" customFormat="1" ht="17.100000000000001" hidden="1" customHeight="1">
      <c r="A630" s="1408"/>
      <c r="B630" s="1429"/>
      <c r="C630" s="2190" t="s">
        <v>702</v>
      </c>
      <c r="D630" s="2108" t="s">
        <v>703</v>
      </c>
      <c r="E630" s="2166">
        <v>0</v>
      </c>
      <c r="F630" s="2141"/>
      <c r="G630" s="2142"/>
      <c r="H630" s="2143" t="e">
        <f t="shared" si="40"/>
        <v>#DIV/0!</v>
      </c>
    </row>
    <row r="631" spans="1:10" s="1370" customFormat="1" ht="17.100000000000001" customHeight="1">
      <c r="A631" s="1429"/>
      <c r="B631" s="1429"/>
      <c r="C631" s="2191"/>
      <c r="D631" s="2192"/>
      <c r="E631" s="2191"/>
      <c r="F631" s="2141"/>
      <c r="G631" s="2142"/>
      <c r="H631" s="2143"/>
    </row>
    <row r="632" spans="1:10" s="1370" customFormat="1" ht="17.100000000000001" customHeight="1">
      <c r="A632" s="1408"/>
      <c r="B632" s="1429"/>
      <c r="C632" s="4863" t="s">
        <v>704</v>
      </c>
      <c r="D632" s="4863"/>
      <c r="E632" s="2193">
        <f>SUM(E638)</f>
        <v>105000</v>
      </c>
      <c r="F632" s="1578">
        <f>SUM(F633:F646)</f>
        <v>105000</v>
      </c>
      <c r="G632" s="2194">
        <f>SUM(G633:G646)</f>
        <v>111750</v>
      </c>
      <c r="H632" s="1580">
        <f t="shared" ref="H632:H644" si="42">G632/F632</f>
        <v>1.0642857142857143</v>
      </c>
    </row>
    <row r="633" spans="1:10" s="1370" customFormat="1" ht="17.100000000000001" customHeight="1">
      <c r="A633" s="1408"/>
      <c r="B633" s="1429"/>
      <c r="C633" s="2188" t="s">
        <v>707</v>
      </c>
      <c r="D633" s="2108" t="s">
        <v>708</v>
      </c>
      <c r="E633" s="2166">
        <v>0</v>
      </c>
      <c r="F633" s="2141">
        <v>0</v>
      </c>
      <c r="G633" s="2142">
        <v>5750</v>
      </c>
      <c r="H633" s="2143"/>
    </row>
    <row r="634" spans="1:10" s="1370" customFormat="1" ht="17.100000000000001" hidden="1" customHeight="1">
      <c r="A634" s="1408"/>
      <c r="B634" s="1429"/>
      <c r="C634" s="2188" t="s">
        <v>709</v>
      </c>
      <c r="D634" s="2108" t="s">
        <v>710</v>
      </c>
      <c r="E634" s="2166">
        <v>0</v>
      </c>
      <c r="F634" s="2141"/>
      <c r="G634" s="2142"/>
      <c r="H634" s="2143" t="e">
        <f t="shared" si="42"/>
        <v>#DIV/0!</v>
      </c>
    </row>
    <row r="635" spans="1:10" s="1370" customFormat="1" ht="17.100000000000001" hidden="1" customHeight="1">
      <c r="A635" s="1408"/>
      <c r="B635" s="1429"/>
      <c r="C635" s="2188" t="s">
        <v>711</v>
      </c>
      <c r="D635" s="2108" t="s">
        <v>712</v>
      </c>
      <c r="E635" s="2166">
        <v>0</v>
      </c>
      <c r="F635" s="2141"/>
      <c r="G635" s="2142"/>
      <c r="H635" s="2143" t="e">
        <f t="shared" si="42"/>
        <v>#DIV/0!</v>
      </c>
    </row>
    <row r="636" spans="1:10" s="1370" customFormat="1" ht="17.100000000000001" hidden="1" customHeight="1">
      <c r="A636" s="1408"/>
      <c r="B636" s="1429"/>
      <c r="C636" s="2188" t="s">
        <v>713</v>
      </c>
      <c r="D636" s="2108" t="s">
        <v>714</v>
      </c>
      <c r="E636" s="2166">
        <v>0</v>
      </c>
      <c r="F636" s="2141"/>
      <c r="G636" s="2142"/>
      <c r="H636" s="2143" t="e">
        <f t="shared" si="42"/>
        <v>#DIV/0!</v>
      </c>
    </row>
    <row r="637" spans="1:10" s="1370" customFormat="1" ht="17.100000000000001" hidden="1" customHeight="1">
      <c r="A637" s="1408"/>
      <c r="B637" s="1429"/>
      <c r="C637" s="2188" t="s">
        <v>715</v>
      </c>
      <c r="D637" s="2108" t="s">
        <v>716</v>
      </c>
      <c r="E637" s="2166">
        <v>0</v>
      </c>
      <c r="F637" s="2141"/>
      <c r="G637" s="2142"/>
      <c r="H637" s="2143" t="e">
        <f t="shared" si="42"/>
        <v>#DIV/0!</v>
      </c>
    </row>
    <row r="638" spans="1:10" s="1370" customFormat="1" ht="17.100000000000001" customHeight="1">
      <c r="A638" s="1408"/>
      <c r="B638" s="1429"/>
      <c r="C638" s="2188" t="s">
        <v>717</v>
      </c>
      <c r="D638" s="2108" t="s">
        <v>718</v>
      </c>
      <c r="E638" s="2166">
        <v>105000</v>
      </c>
      <c r="F638" s="2141">
        <v>105000</v>
      </c>
      <c r="G638" s="2142">
        <v>96000</v>
      </c>
      <c r="H638" s="2143">
        <f t="shared" si="42"/>
        <v>0.91428571428571426</v>
      </c>
    </row>
    <row r="639" spans="1:10" s="1370" customFormat="1" ht="16.5" hidden="1" customHeight="1">
      <c r="A639" s="1408"/>
      <c r="B639" s="1429"/>
      <c r="C639" s="2188" t="s">
        <v>719</v>
      </c>
      <c r="D639" s="2108" t="s">
        <v>947</v>
      </c>
      <c r="E639" s="2166">
        <v>0</v>
      </c>
      <c r="F639" s="2141"/>
      <c r="G639" s="2142"/>
      <c r="H639" s="2143" t="e">
        <f t="shared" si="42"/>
        <v>#DIV/0!</v>
      </c>
    </row>
    <row r="640" spans="1:10" s="1370" customFormat="1" ht="26.25" hidden="1" customHeight="1">
      <c r="A640" s="1408"/>
      <c r="B640" s="1429"/>
      <c r="C640" s="2188" t="s">
        <v>723</v>
      </c>
      <c r="D640" s="2108" t="s">
        <v>724</v>
      </c>
      <c r="E640" s="2166">
        <v>0</v>
      </c>
      <c r="F640" s="2141"/>
      <c r="G640" s="2142"/>
      <c r="H640" s="2143" t="e">
        <f t="shared" si="42"/>
        <v>#DIV/0!</v>
      </c>
    </row>
    <row r="641" spans="1:8" s="1370" customFormat="1" ht="17.100000000000001" hidden="1" customHeight="1">
      <c r="A641" s="1408"/>
      <c r="B641" s="1429"/>
      <c r="C641" s="2188" t="s">
        <v>725</v>
      </c>
      <c r="D641" s="2108" t="s">
        <v>726</v>
      </c>
      <c r="E641" s="2166">
        <v>0</v>
      </c>
      <c r="F641" s="2141"/>
      <c r="G641" s="2142"/>
      <c r="H641" s="2143" t="e">
        <f t="shared" si="42"/>
        <v>#DIV/0!</v>
      </c>
    </row>
    <row r="642" spans="1:8" s="1370" customFormat="1" ht="17.100000000000001" hidden="1" customHeight="1">
      <c r="A642" s="1408"/>
      <c r="B642" s="1429"/>
      <c r="C642" s="2188" t="s">
        <v>727</v>
      </c>
      <c r="D642" s="2108" t="s">
        <v>728</v>
      </c>
      <c r="E642" s="2166">
        <v>0</v>
      </c>
      <c r="F642" s="2141"/>
      <c r="G642" s="2142"/>
      <c r="H642" s="2143" t="e">
        <f t="shared" si="42"/>
        <v>#DIV/0!</v>
      </c>
    </row>
    <row r="643" spans="1:8" s="1370" customFormat="1" ht="17.100000000000001" hidden="1" customHeight="1">
      <c r="A643" s="1408"/>
      <c r="B643" s="1429"/>
      <c r="C643" s="2188" t="s">
        <v>729</v>
      </c>
      <c r="D643" s="2108" t="s">
        <v>730</v>
      </c>
      <c r="E643" s="2166">
        <v>0</v>
      </c>
      <c r="F643" s="2141"/>
      <c r="G643" s="2142"/>
      <c r="H643" s="2143" t="e">
        <f t="shared" si="42"/>
        <v>#DIV/0!</v>
      </c>
    </row>
    <row r="644" spans="1:8" s="1370" customFormat="1" ht="17.100000000000001" hidden="1" customHeight="1">
      <c r="A644" s="1408"/>
      <c r="B644" s="1429"/>
      <c r="C644" s="2188" t="s">
        <v>731</v>
      </c>
      <c r="D644" s="2108" t="s">
        <v>732</v>
      </c>
      <c r="E644" s="2166">
        <v>0</v>
      </c>
      <c r="F644" s="2141"/>
      <c r="G644" s="2142"/>
      <c r="H644" s="2143" t="e">
        <f t="shared" si="42"/>
        <v>#DIV/0!</v>
      </c>
    </row>
    <row r="645" spans="1:8" s="1370" customFormat="1" ht="18" customHeight="1">
      <c r="A645" s="1408"/>
      <c r="B645" s="1429"/>
      <c r="C645" s="2188" t="s">
        <v>739</v>
      </c>
      <c r="D645" s="2108" t="s">
        <v>740</v>
      </c>
      <c r="E645" s="2166">
        <v>0</v>
      </c>
      <c r="F645" s="2141">
        <v>0</v>
      </c>
      <c r="G645" s="2142">
        <v>10000</v>
      </c>
      <c r="H645" s="2143"/>
    </row>
    <row r="646" spans="1:8" s="1370" customFormat="1" ht="12" hidden="1" customHeight="1">
      <c r="A646" s="1408"/>
      <c r="B646" s="1429"/>
      <c r="C646" s="1470"/>
      <c r="D646" s="1470"/>
      <c r="E646" s="1454"/>
      <c r="F646" s="2141"/>
      <c r="G646" s="2142"/>
      <c r="H646" s="2143"/>
    </row>
    <row r="647" spans="1:8" s="1370" customFormat="1" ht="17.100000000000001" hidden="1" customHeight="1">
      <c r="A647" s="1408"/>
      <c r="B647" s="1429"/>
      <c r="C647" s="4837" t="s">
        <v>741</v>
      </c>
      <c r="D647" s="4837"/>
      <c r="E647" s="2120">
        <v>0</v>
      </c>
      <c r="F647" s="2141"/>
      <c r="G647" s="2142"/>
      <c r="H647" s="2143"/>
    </row>
    <row r="648" spans="1:8" s="1370" customFormat="1" ht="17.100000000000001" hidden="1" customHeight="1">
      <c r="A648" s="1408"/>
      <c r="B648" s="1429"/>
      <c r="C648" s="2195" t="s">
        <v>742</v>
      </c>
      <c r="D648" s="2196" t="s">
        <v>743</v>
      </c>
      <c r="E648" s="2166">
        <v>0</v>
      </c>
      <c r="F648" s="2141"/>
      <c r="G648" s="2142"/>
      <c r="H648" s="2143"/>
    </row>
    <row r="649" spans="1:8" s="1370" customFormat="1" ht="18.75" customHeight="1">
      <c r="A649" s="1408"/>
      <c r="B649" s="1429"/>
      <c r="C649" s="2197"/>
      <c r="D649" s="1534"/>
      <c r="E649" s="1457"/>
      <c r="F649" s="2141"/>
      <c r="G649" s="2142"/>
      <c r="H649" s="2143"/>
    </row>
    <row r="650" spans="1:8" s="1370" customFormat="1" ht="17.25" customHeight="1">
      <c r="A650" s="1408"/>
      <c r="B650" s="1429"/>
      <c r="C650" s="4835" t="s">
        <v>761</v>
      </c>
      <c r="D650" s="4835"/>
      <c r="E650" s="2198">
        <f>SUM(E651)</f>
        <v>4395917</v>
      </c>
      <c r="F650" s="2199">
        <f>SUM(F651)</f>
        <v>6324557</v>
      </c>
      <c r="G650" s="2200">
        <f>SUM(G651)</f>
        <v>0</v>
      </c>
      <c r="H650" s="2143">
        <f t="shared" ref="H650:H688" si="43">G650/F650</f>
        <v>0</v>
      </c>
    </row>
    <row r="651" spans="1:8" s="1370" customFormat="1" ht="59.25" customHeight="1" thickBot="1">
      <c r="A651" s="1408"/>
      <c r="B651" s="1591"/>
      <c r="C651" s="2201" t="s">
        <v>446</v>
      </c>
      <c r="D651" s="1519" t="s">
        <v>764</v>
      </c>
      <c r="E651" s="2202">
        <v>4395917</v>
      </c>
      <c r="F651" s="1538">
        <v>6324557</v>
      </c>
      <c r="G651" s="2146">
        <v>0</v>
      </c>
      <c r="H651" s="2143">
        <f t="shared" si="43"/>
        <v>0</v>
      </c>
    </row>
    <row r="652" spans="1:8" s="1370" customFormat="1" ht="58.5" hidden="1" customHeight="1" thickBot="1">
      <c r="A652" s="1408"/>
      <c r="B652" s="1429"/>
      <c r="C652" s="1478" t="s">
        <v>420</v>
      </c>
      <c r="D652" s="2203" t="s">
        <v>948</v>
      </c>
      <c r="E652" s="2204">
        <v>0</v>
      </c>
      <c r="F652" s="1451"/>
      <c r="G652" s="2205"/>
      <c r="H652" s="2143" t="e">
        <f t="shared" si="43"/>
        <v>#DIV/0!</v>
      </c>
    </row>
    <row r="653" spans="1:8" s="1370" customFormat="1" ht="16.5" hidden="1" customHeight="1" thickBot="1">
      <c r="A653" s="1408"/>
      <c r="B653" s="1429"/>
      <c r="C653" s="2121" t="s">
        <v>833</v>
      </c>
      <c r="D653" s="2203" t="s">
        <v>718</v>
      </c>
      <c r="E653" s="2198">
        <v>0</v>
      </c>
      <c r="F653" s="2141"/>
      <c r="G653" s="2142"/>
      <c r="H653" s="2143" t="e">
        <f t="shared" si="43"/>
        <v>#DIV/0!</v>
      </c>
    </row>
    <row r="654" spans="1:8" s="1370" customFormat="1" ht="15" hidden="1" customHeight="1" thickBot="1">
      <c r="A654" s="1408"/>
      <c r="B654" s="1429"/>
      <c r="C654" s="2195" t="s">
        <v>784</v>
      </c>
      <c r="D654" s="2206" t="s">
        <v>718</v>
      </c>
      <c r="E654" s="2198">
        <v>0</v>
      </c>
      <c r="F654" s="2141"/>
      <c r="G654" s="2142"/>
      <c r="H654" s="2143" t="e">
        <f t="shared" si="43"/>
        <v>#DIV/0!</v>
      </c>
    </row>
    <row r="655" spans="1:8" s="1370" customFormat="1" ht="63" hidden="1" customHeight="1" thickBot="1">
      <c r="A655" s="1408"/>
      <c r="B655" s="1429"/>
      <c r="C655" s="2195" t="s">
        <v>791</v>
      </c>
      <c r="D655" s="2206" t="s">
        <v>792</v>
      </c>
      <c r="E655" s="2198">
        <v>0</v>
      </c>
      <c r="F655" s="2141"/>
      <c r="G655" s="2142"/>
      <c r="H655" s="2143" t="e">
        <f t="shared" si="43"/>
        <v>#DIV/0!</v>
      </c>
    </row>
    <row r="656" spans="1:8" s="1370" customFormat="1" ht="13.5" hidden="1" customHeight="1" thickBot="1">
      <c r="A656" s="1408"/>
      <c r="B656" s="1429"/>
      <c r="C656" s="2197"/>
      <c r="D656" s="2207"/>
      <c r="E656" s="1457"/>
      <c r="F656" s="2141"/>
      <c r="G656" s="2142"/>
      <c r="H656" s="2143" t="e">
        <f t="shared" si="43"/>
        <v>#DIV/0!</v>
      </c>
    </row>
    <row r="657" spans="1:8" s="1370" customFormat="1" ht="15.75" hidden="1" customHeight="1" thickBot="1">
      <c r="A657" s="1408"/>
      <c r="B657" s="1469"/>
      <c r="C657" s="4857" t="s">
        <v>744</v>
      </c>
      <c r="D657" s="4858"/>
      <c r="E657" s="2208">
        <v>0</v>
      </c>
      <c r="F657" s="2141"/>
      <c r="G657" s="2142"/>
      <c r="H657" s="2143" t="e">
        <f t="shared" si="43"/>
        <v>#DIV/0!</v>
      </c>
    </row>
    <row r="658" spans="1:8" s="1370" customFormat="1" ht="15.75" hidden="1" customHeight="1" thickBot="1">
      <c r="A658" s="1408"/>
      <c r="B658" s="1469"/>
      <c r="C658" s="4836" t="s">
        <v>745</v>
      </c>
      <c r="D658" s="4836"/>
      <c r="E658" s="2166">
        <v>0</v>
      </c>
      <c r="F658" s="2141"/>
      <c r="G658" s="2142"/>
      <c r="H658" s="2143" t="e">
        <f t="shared" si="43"/>
        <v>#DIV/0!</v>
      </c>
    </row>
    <row r="659" spans="1:8" s="1370" customFormat="1" ht="15.75" hidden="1" customHeight="1" thickBot="1">
      <c r="A659" s="1408"/>
      <c r="B659" s="1469"/>
      <c r="C659" s="2188" t="s">
        <v>746</v>
      </c>
      <c r="D659" s="2108" t="s">
        <v>801</v>
      </c>
      <c r="E659" s="2166">
        <v>0</v>
      </c>
      <c r="F659" s="2141"/>
      <c r="G659" s="2142"/>
      <c r="H659" s="2143" t="e">
        <f t="shared" si="43"/>
        <v>#DIV/0!</v>
      </c>
    </row>
    <row r="660" spans="1:8" s="1370" customFormat="1" ht="17.25" hidden="1" customHeight="1" thickBot="1">
      <c r="A660" s="1408"/>
      <c r="B660" s="1500" t="s">
        <v>949</v>
      </c>
      <c r="C660" s="2209"/>
      <c r="D660" s="1502" t="s">
        <v>950</v>
      </c>
      <c r="E660" s="1503">
        <v>0</v>
      </c>
      <c r="F660" s="2141"/>
      <c r="G660" s="2142"/>
      <c r="H660" s="2143" t="e">
        <f t="shared" si="43"/>
        <v>#DIV/0!</v>
      </c>
    </row>
    <row r="661" spans="1:8" s="1370" customFormat="1" ht="15.75" hidden="1" customHeight="1" thickBot="1">
      <c r="A661" s="1408"/>
      <c r="B661" s="4357"/>
      <c r="C661" s="4856" t="s">
        <v>688</v>
      </c>
      <c r="D661" s="4856"/>
      <c r="E661" s="2210">
        <v>0</v>
      </c>
      <c r="F661" s="2141"/>
      <c r="G661" s="2142"/>
      <c r="H661" s="2143" t="e">
        <f t="shared" si="43"/>
        <v>#DIV/0!</v>
      </c>
    </row>
    <row r="662" spans="1:8" s="1370" customFormat="1" ht="16.5" hidden="1" customHeight="1" thickBot="1">
      <c r="A662" s="1408"/>
      <c r="B662" s="4357"/>
      <c r="C662" s="4836" t="s">
        <v>797</v>
      </c>
      <c r="D662" s="4836"/>
      <c r="E662" s="2186">
        <v>0</v>
      </c>
      <c r="F662" s="2141"/>
      <c r="G662" s="2142"/>
      <c r="H662" s="2143" t="e">
        <f t="shared" si="43"/>
        <v>#DIV/0!</v>
      </c>
    </row>
    <row r="663" spans="1:8" s="1370" customFormat="1" ht="33.75" hidden="1" customHeight="1" thickBot="1">
      <c r="A663" s="1408"/>
      <c r="B663" s="4357"/>
      <c r="C663" s="2188" t="s">
        <v>353</v>
      </c>
      <c r="D663" s="2108" t="s">
        <v>932</v>
      </c>
      <c r="E663" s="2166">
        <v>0</v>
      </c>
      <c r="F663" s="2141"/>
      <c r="G663" s="2142"/>
      <c r="H663" s="2143" t="e">
        <f t="shared" si="43"/>
        <v>#DIV/0!</v>
      </c>
    </row>
    <row r="664" spans="1:8" s="1370" customFormat="1" ht="15.75" hidden="1" customHeight="1" thickBot="1">
      <c r="A664" s="1408"/>
      <c r="B664" s="1469"/>
      <c r="C664" s="1478"/>
      <c r="D664" s="1479"/>
      <c r="E664" s="2211"/>
      <c r="F664" s="2141"/>
      <c r="G664" s="2142"/>
      <c r="H664" s="2143" t="e">
        <f t="shared" si="43"/>
        <v>#DIV/0!</v>
      </c>
    </row>
    <row r="665" spans="1:8" s="1370" customFormat="1" ht="18.75" hidden="1" customHeight="1" thickBot="1">
      <c r="A665" s="1408"/>
      <c r="B665" s="1469"/>
      <c r="C665" s="4851" t="s">
        <v>744</v>
      </c>
      <c r="D665" s="4852"/>
      <c r="E665" s="2210">
        <v>0</v>
      </c>
      <c r="F665" s="2141"/>
      <c r="G665" s="2142"/>
      <c r="H665" s="2143" t="e">
        <f t="shared" si="43"/>
        <v>#DIV/0!</v>
      </c>
    </row>
    <row r="666" spans="1:8" s="1370" customFormat="1" ht="17.25" hidden="1" customHeight="1" thickBot="1">
      <c r="A666" s="1408"/>
      <c r="B666" s="1469"/>
      <c r="C666" s="4390" t="s">
        <v>885</v>
      </c>
      <c r="D666" s="4390"/>
      <c r="E666" s="1457">
        <v>0</v>
      </c>
      <c r="F666" s="2111"/>
      <c r="G666" s="2212"/>
      <c r="H666" s="2178" t="e">
        <f t="shared" si="43"/>
        <v>#DIV/0!</v>
      </c>
    </row>
    <row r="667" spans="1:8" s="1370" customFormat="1" ht="18" customHeight="1" thickBot="1">
      <c r="A667" s="1408"/>
      <c r="B667" s="2213" t="s">
        <v>949</v>
      </c>
      <c r="C667" s="2214"/>
      <c r="D667" s="2215" t="s">
        <v>950</v>
      </c>
      <c r="E667" s="1803">
        <f t="shared" ref="E667:G669" si="44">SUM(E668)</f>
        <v>0</v>
      </c>
      <c r="F667" s="1804">
        <f t="shared" si="44"/>
        <v>12000</v>
      </c>
      <c r="G667" s="1805">
        <f t="shared" si="44"/>
        <v>0</v>
      </c>
      <c r="H667" s="1506">
        <f t="shared" si="43"/>
        <v>0</v>
      </c>
    </row>
    <row r="668" spans="1:8" s="1370" customFormat="1" ht="18" customHeight="1">
      <c r="A668" s="1408"/>
      <c r="B668" s="4787"/>
      <c r="C668" s="4853" t="s">
        <v>688</v>
      </c>
      <c r="D668" s="4854"/>
      <c r="E668" s="2210">
        <f t="shared" si="44"/>
        <v>0</v>
      </c>
      <c r="F668" s="1418">
        <f t="shared" si="44"/>
        <v>12000</v>
      </c>
      <c r="G668" s="2216">
        <f t="shared" si="44"/>
        <v>0</v>
      </c>
      <c r="H668" s="1509">
        <f t="shared" si="43"/>
        <v>0</v>
      </c>
    </row>
    <row r="669" spans="1:8" s="1370" customFormat="1" ht="18" customHeight="1">
      <c r="A669" s="1408"/>
      <c r="B669" s="4787"/>
      <c r="C669" s="4762" t="s">
        <v>797</v>
      </c>
      <c r="D669" s="4855"/>
      <c r="E669" s="2198">
        <f t="shared" si="44"/>
        <v>0</v>
      </c>
      <c r="F669" s="2199">
        <f t="shared" si="44"/>
        <v>12000</v>
      </c>
      <c r="G669" s="2200">
        <f t="shared" si="44"/>
        <v>0</v>
      </c>
      <c r="H669" s="2143">
        <f t="shared" si="43"/>
        <v>0</v>
      </c>
    </row>
    <row r="670" spans="1:8" s="1370" customFormat="1" ht="48" customHeight="1" thickBot="1">
      <c r="A670" s="1516"/>
      <c r="B670" s="4788"/>
      <c r="C670" s="2182" t="s">
        <v>353</v>
      </c>
      <c r="D670" s="2183" t="s">
        <v>932</v>
      </c>
      <c r="E670" s="2140">
        <v>0</v>
      </c>
      <c r="F670" s="1538">
        <v>12000</v>
      </c>
      <c r="G670" s="2146">
        <v>0</v>
      </c>
      <c r="H670" s="1540">
        <f t="shared" si="43"/>
        <v>0</v>
      </c>
    </row>
    <row r="671" spans="1:8" s="1370" customFormat="1" ht="6" hidden="1" customHeight="1" thickBot="1">
      <c r="A671" s="1408"/>
      <c r="B671" s="1469"/>
      <c r="C671" s="1478" t="s">
        <v>880</v>
      </c>
      <c r="D671" s="2217" t="s">
        <v>881</v>
      </c>
      <c r="E671" s="2211">
        <v>0</v>
      </c>
      <c r="F671" s="1521"/>
      <c r="G671" s="1522"/>
      <c r="H671" s="1594" t="e">
        <f t="shared" si="43"/>
        <v>#DIV/0!</v>
      </c>
    </row>
    <row r="672" spans="1:8" s="1370" customFormat="1" ht="22.5" customHeight="1" thickBot="1">
      <c r="A672" s="1595" t="s">
        <v>951</v>
      </c>
      <c r="B672" s="1596"/>
      <c r="C672" s="1597"/>
      <c r="D672" s="1598" t="s">
        <v>952</v>
      </c>
      <c r="E672" s="1599">
        <f>SUM(E673)</f>
        <v>20457545</v>
      </c>
      <c r="F672" s="1600">
        <f>SUM(F673)</f>
        <v>8891115</v>
      </c>
      <c r="G672" s="1601">
        <f>SUM(G673)</f>
        <v>23472601</v>
      </c>
      <c r="H672" s="1602">
        <f t="shared" si="43"/>
        <v>2.6400064558832046</v>
      </c>
    </row>
    <row r="673" spans="1:8" s="1370" customFormat="1" ht="17.100000000000001" customHeight="1" thickBot="1">
      <c r="A673" s="1585"/>
      <c r="B673" s="1500" t="s">
        <v>953</v>
      </c>
      <c r="C673" s="1501"/>
      <c r="D673" s="1502" t="s">
        <v>312</v>
      </c>
      <c r="E673" s="1503">
        <f>SUM(E674,E696)</f>
        <v>20457545</v>
      </c>
      <c r="F673" s="1504">
        <f>SUM(F674,F696)</f>
        <v>8891115</v>
      </c>
      <c r="G673" s="1505">
        <f>SUM(G674,G696)</f>
        <v>23472601</v>
      </c>
      <c r="H673" s="1506">
        <f t="shared" si="43"/>
        <v>2.6400064558832046</v>
      </c>
    </row>
    <row r="674" spans="1:8" s="1370" customFormat="1" ht="17.100000000000001" customHeight="1">
      <c r="A674" s="1408"/>
      <c r="B674" s="4357"/>
      <c r="C674" s="4856" t="s">
        <v>688</v>
      </c>
      <c r="D674" s="4856"/>
      <c r="E674" s="2210">
        <f>SUM(E675,E690)</f>
        <v>8432170</v>
      </c>
      <c r="F674" s="1418">
        <f>SUM(F675,F690)</f>
        <v>8434628</v>
      </c>
      <c r="G674" s="2216">
        <f>SUM(G675,G690)</f>
        <v>11246171</v>
      </c>
      <c r="H674" s="1509">
        <f t="shared" si="43"/>
        <v>1.3333333728529582</v>
      </c>
    </row>
    <row r="675" spans="1:8" s="1370" customFormat="1" ht="17.100000000000001" customHeight="1">
      <c r="A675" s="1408"/>
      <c r="B675" s="4357"/>
      <c r="C675" s="4835" t="s">
        <v>689</v>
      </c>
      <c r="D675" s="4835"/>
      <c r="E675" s="2148">
        <f>SUM(E676)</f>
        <v>8432170</v>
      </c>
      <c r="F675" s="2141">
        <f>SUM(F676)</f>
        <v>8432170</v>
      </c>
      <c r="G675" s="2149">
        <f>SUM(G676)</f>
        <v>11246171</v>
      </c>
      <c r="H675" s="2143">
        <f t="shared" si="43"/>
        <v>1.333722043080251</v>
      </c>
    </row>
    <row r="676" spans="1:8" s="1370" customFormat="1" ht="17.100000000000001" customHeight="1">
      <c r="A676" s="1408"/>
      <c r="B676" s="4357"/>
      <c r="C676" s="4830" t="s">
        <v>704</v>
      </c>
      <c r="D676" s="4830"/>
      <c r="E676" s="2150">
        <f>SUM(E677:E688)</f>
        <v>8432170</v>
      </c>
      <c r="F676" s="2151">
        <f>SUM(F677:F688)</f>
        <v>8432170</v>
      </c>
      <c r="G676" s="2152">
        <f>SUM(G677:G688)</f>
        <v>11246171</v>
      </c>
      <c r="H676" s="2153">
        <f t="shared" si="43"/>
        <v>1.333722043080251</v>
      </c>
    </row>
    <row r="677" spans="1:8" s="1370" customFormat="1" ht="17.100000000000001" customHeight="1">
      <c r="A677" s="1408"/>
      <c r="B677" s="4357"/>
      <c r="C677" s="2188" t="s">
        <v>707</v>
      </c>
      <c r="D677" s="2108" t="s">
        <v>708</v>
      </c>
      <c r="E677" s="2148">
        <v>10000</v>
      </c>
      <c r="F677" s="2141">
        <v>10000</v>
      </c>
      <c r="G677" s="2142">
        <v>25000</v>
      </c>
      <c r="H677" s="2143">
        <f t="shared" si="43"/>
        <v>2.5</v>
      </c>
    </row>
    <row r="678" spans="1:8" s="1370" customFormat="1" ht="17.100000000000001" customHeight="1">
      <c r="A678" s="1408"/>
      <c r="B678" s="4357"/>
      <c r="C678" s="2188" t="s">
        <v>711</v>
      </c>
      <c r="D678" s="2108" t="s">
        <v>712</v>
      </c>
      <c r="E678" s="2148">
        <v>34000</v>
      </c>
      <c r="F678" s="2141">
        <v>34000</v>
      </c>
      <c r="G678" s="2142">
        <v>100000</v>
      </c>
      <c r="H678" s="2143">
        <f t="shared" si="43"/>
        <v>2.9411764705882355</v>
      </c>
    </row>
    <row r="679" spans="1:8" s="1370" customFormat="1" ht="17.100000000000001" customHeight="1">
      <c r="A679" s="1408"/>
      <c r="B679" s="4357"/>
      <c r="C679" s="2188" t="s">
        <v>713</v>
      </c>
      <c r="D679" s="2108" t="s">
        <v>714</v>
      </c>
      <c r="E679" s="2148">
        <v>120000</v>
      </c>
      <c r="F679" s="2141">
        <v>120000</v>
      </c>
      <c r="G679" s="2142">
        <v>135000</v>
      </c>
      <c r="H679" s="2143">
        <f t="shared" si="43"/>
        <v>1.125</v>
      </c>
    </row>
    <row r="680" spans="1:8" s="1370" customFormat="1" ht="17.100000000000001" customHeight="1">
      <c r="A680" s="1408"/>
      <c r="B680" s="4357"/>
      <c r="C680" s="2188" t="s">
        <v>717</v>
      </c>
      <c r="D680" s="2108" t="s">
        <v>718</v>
      </c>
      <c r="E680" s="2148">
        <v>2860000</v>
      </c>
      <c r="F680" s="2141">
        <v>2860000</v>
      </c>
      <c r="G680" s="2142">
        <v>5670000</v>
      </c>
      <c r="H680" s="2143">
        <f t="shared" si="43"/>
        <v>1.9825174825174825</v>
      </c>
    </row>
    <row r="681" spans="1:8" s="1370" customFormat="1" ht="17.100000000000001" customHeight="1">
      <c r="A681" s="1408"/>
      <c r="B681" s="4357"/>
      <c r="C681" s="2188" t="s">
        <v>719</v>
      </c>
      <c r="D681" s="2108" t="s">
        <v>720</v>
      </c>
      <c r="E681" s="2148">
        <v>6000</v>
      </c>
      <c r="F681" s="2141">
        <v>6000</v>
      </c>
      <c r="G681" s="2142">
        <v>10000</v>
      </c>
      <c r="H681" s="2143">
        <f t="shared" si="43"/>
        <v>1.6666666666666667</v>
      </c>
    </row>
    <row r="682" spans="1:8" s="1370" customFormat="1" ht="17.100000000000001" customHeight="1">
      <c r="A682" s="1408"/>
      <c r="B682" s="4357"/>
      <c r="C682" s="2188" t="s">
        <v>721</v>
      </c>
      <c r="D682" s="2108" t="s">
        <v>722</v>
      </c>
      <c r="E682" s="2148">
        <v>315905</v>
      </c>
      <c r="F682" s="2141">
        <v>315905</v>
      </c>
      <c r="G682" s="2142">
        <v>775171</v>
      </c>
      <c r="H682" s="2143">
        <f t="shared" si="43"/>
        <v>2.4538104809990346</v>
      </c>
    </row>
    <row r="683" spans="1:8" s="1370" customFormat="1" ht="25.5" customHeight="1">
      <c r="A683" s="1408"/>
      <c r="B683" s="1469"/>
      <c r="C683" s="2218" t="s">
        <v>723</v>
      </c>
      <c r="D683" s="2108" t="s">
        <v>724</v>
      </c>
      <c r="E683" s="2148">
        <v>10000</v>
      </c>
      <c r="F683" s="2141">
        <v>10000</v>
      </c>
      <c r="G683" s="2142">
        <v>20000</v>
      </c>
      <c r="H683" s="2143">
        <f t="shared" si="43"/>
        <v>2</v>
      </c>
    </row>
    <row r="684" spans="1:8" s="1370" customFormat="1" ht="16.5" customHeight="1">
      <c r="A684" s="1408"/>
      <c r="B684" s="1469"/>
      <c r="C684" s="2218" t="s">
        <v>727</v>
      </c>
      <c r="D684" s="2108" t="s">
        <v>728</v>
      </c>
      <c r="E684" s="2148">
        <v>3855500</v>
      </c>
      <c r="F684" s="2141">
        <v>3855500</v>
      </c>
      <c r="G684" s="2142">
        <v>3570000</v>
      </c>
      <c r="H684" s="2143">
        <f t="shared" si="43"/>
        <v>0.92594994164181044</v>
      </c>
    </row>
    <row r="685" spans="1:8" s="1370" customFormat="1" ht="16.5" customHeight="1">
      <c r="A685" s="1408"/>
      <c r="B685" s="1469"/>
      <c r="C685" s="2218" t="s">
        <v>737</v>
      </c>
      <c r="D685" s="2108" t="s">
        <v>738</v>
      </c>
      <c r="E685" s="2148">
        <v>1070765</v>
      </c>
      <c r="F685" s="2141">
        <v>1070765</v>
      </c>
      <c r="G685" s="2142">
        <v>821000</v>
      </c>
      <c r="H685" s="2143">
        <f t="shared" si="43"/>
        <v>0.76674153525750277</v>
      </c>
    </row>
    <row r="686" spans="1:8" s="1370" customFormat="1" ht="16.5" hidden="1" customHeight="1">
      <c r="A686" s="1408"/>
      <c r="B686" s="1469"/>
      <c r="C686" s="2218" t="s">
        <v>954</v>
      </c>
      <c r="D686" s="2108" t="s">
        <v>955</v>
      </c>
      <c r="E686" s="2148">
        <v>0</v>
      </c>
      <c r="F686" s="2141"/>
      <c r="G686" s="2142"/>
      <c r="H686" s="2143" t="e">
        <f t="shared" si="43"/>
        <v>#DIV/0!</v>
      </c>
    </row>
    <row r="687" spans="1:8" s="1370" customFormat="1" ht="16.5" hidden="1" customHeight="1">
      <c r="A687" s="1408"/>
      <c r="B687" s="1469"/>
      <c r="C687" s="2218" t="s">
        <v>815</v>
      </c>
      <c r="D687" s="2108" t="s">
        <v>816</v>
      </c>
      <c r="E687" s="2148">
        <v>0</v>
      </c>
      <c r="F687" s="2141"/>
      <c r="G687" s="2142"/>
      <c r="H687" s="2143" t="e">
        <f t="shared" si="43"/>
        <v>#DIV/0!</v>
      </c>
    </row>
    <row r="688" spans="1:8" s="1370" customFormat="1" ht="16.5" customHeight="1">
      <c r="A688" s="1408"/>
      <c r="B688" s="1469"/>
      <c r="C688" s="2188" t="s">
        <v>739</v>
      </c>
      <c r="D688" s="2108" t="s">
        <v>740</v>
      </c>
      <c r="E688" s="2148">
        <v>150000</v>
      </c>
      <c r="F688" s="2141">
        <v>150000</v>
      </c>
      <c r="G688" s="2142">
        <v>120000</v>
      </c>
      <c r="H688" s="2143">
        <f t="shared" si="43"/>
        <v>0.8</v>
      </c>
    </row>
    <row r="689" spans="1:8" s="1370" customFormat="1" ht="13.5" customHeight="1">
      <c r="A689" s="1429"/>
      <c r="B689" s="1469"/>
      <c r="C689" s="2219"/>
      <c r="D689" s="2220"/>
      <c r="E689" s="2148"/>
      <c r="F689" s="2141"/>
      <c r="G689" s="2142"/>
      <c r="H689" s="2143"/>
    </row>
    <row r="690" spans="1:8" s="1370" customFormat="1" ht="16.5" customHeight="1">
      <c r="A690" s="1408"/>
      <c r="B690" s="1469"/>
      <c r="C690" s="4845" t="s">
        <v>761</v>
      </c>
      <c r="D690" s="4846"/>
      <c r="E690" s="2221">
        <f>SUM(E691:E693)</f>
        <v>0</v>
      </c>
      <c r="F690" s="1451">
        <f>SUM(F691:F693)</f>
        <v>2458</v>
      </c>
      <c r="G690" s="2222">
        <f>SUM(G691:G693)</f>
        <v>0</v>
      </c>
      <c r="H690" s="1453">
        <f>G690/F690</f>
        <v>0</v>
      </c>
    </row>
    <row r="691" spans="1:8" s="1370" customFormat="1" ht="16.5" customHeight="1">
      <c r="A691" s="1408"/>
      <c r="B691" s="1469"/>
      <c r="C691" s="2223" t="s">
        <v>707</v>
      </c>
      <c r="D691" s="2108" t="s">
        <v>708</v>
      </c>
      <c r="E691" s="2148">
        <v>0</v>
      </c>
      <c r="F691" s="2141">
        <v>45</v>
      </c>
      <c r="G691" s="2142">
        <v>0</v>
      </c>
      <c r="H691" s="2143">
        <f>G691/F691</f>
        <v>0</v>
      </c>
    </row>
    <row r="692" spans="1:8" s="1370" customFormat="1" ht="16.5" customHeight="1">
      <c r="A692" s="1408"/>
      <c r="B692" s="1469"/>
      <c r="C692" s="2223" t="s">
        <v>832</v>
      </c>
      <c r="D692" s="2108" t="s">
        <v>708</v>
      </c>
      <c r="E692" s="2148">
        <v>0</v>
      </c>
      <c r="F692" s="2141">
        <v>2051</v>
      </c>
      <c r="G692" s="2142">
        <v>0</v>
      </c>
      <c r="H692" s="2143">
        <f>G692/F692</f>
        <v>0</v>
      </c>
    </row>
    <row r="693" spans="1:8" s="1370" customFormat="1" ht="16.5" customHeight="1">
      <c r="A693" s="1408"/>
      <c r="B693" s="1469"/>
      <c r="C693" s="2223" t="s">
        <v>780</v>
      </c>
      <c r="D693" s="2108" t="s">
        <v>708</v>
      </c>
      <c r="E693" s="2148">
        <v>0</v>
      </c>
      <c r="F693" s="2141">
        <v>362</v>
      </c>
      <c r="G693" s="2142">
        <v>0</v>
      </c>
      <c r="H693" s="2143">
        <f>G693/F693</f>
        <v>0</v>
      </c>
    </row>
    <row r="694" spans="1:8" s="1370" customFormat="1" ht="16.5" hidden="1" customHeight="1">
      <c r="A694" s="1408"/>
      <c r="B694" s="1469"/>
      <c r="C694" s="2223" t="s">
        <v>791</v>
      </c>
      <c r="D694" s="2224" t="s">
        <v>792</v>
      </c>
      <c r="E694" s="2148">
        <v>0</v>
      </c>
      <c r="F694" s="2141"/>
      <c r="G694" s="2142"/>
      <c r="H694" s="2143" t="e">
        <f>G694/F694</f>
        <v>#DIV/0!</v>
      </c>
    </row>
    <row r="695" spans="1:8" s="1370" customFormat="1" ht="12.75" customHeight="1">
      <c r="A695" s="1408"/>
      <c r="B695" s="1469"/>
      <c r="C695" s="2219"/>
      <c r="D695" s="2220"/>
      <c r="E695" s="2148"/>
      <c r="F695" s="2141"/>
      <c r="G695" s="2142"/>
      <c r="H695" s="2143"/>
    </row>
    <row r="696" spans="1:8" s="1370" customFormat="1" ht="15.75" customHeight="1">
      <c r="A696" s="1408"/>
      <c r="B696" s="1469"/>
      <c r="C696" s="4847" t="s">
        <v>744</v>
      </c>
      <c r="D696" s="4847"/>
      <c r="E696" s="2225">
        <f>SUM(E697)</f>
        <v>12025375</v>
      </c>
      <c r="F696" s="1418">
        <f>SUM(F697)</f>
        <v>456487</v>
      </c>
      <c r="G696" s="2216">
        <f>SUM(G697)</f>
        <v>12226430</v>
      </c>
      <c r="H696" s="2226">
        <f>G696/F696</f>
        <v>26.783741924742653</v>
      </c>
    </row>
    <row r="697" spans="1:8" s="1370" customFormat="1" ht="15.75" customHeight="1">
      <c r="A697" s="1408"/>
      <c r="B697" s="1469"/>
      <c r="C697" s="4836" t="s">
        <v>745</v>
      </c>
      <c r="D697" s="4836"/>
      <c r="E697" s="2148">
        <f>SUM(E698:E704)</f>
        <v>12025375</v>
      </c>
      <c r="F697" s="2141">
        <f>SUM(F698:F704)</f>
        <v>456487</v>
      </c>
      <c r="G697" s="2149">
        <f>SUM(G698:G704)</f>
        <v>12226430</v>
      </c>
      <c r="H697" s="2143">
        <f>G697/F697</f>
        <v>26.783741924742653</v>
      </c>
    </row>
    <row r="698" spans="1:8" s="1370" customFormat="1" ht="15.75" customHeight="1">
      <c r="A698" s="1408"/>
      <c r="B698" s="1469"/>
      <c r="C698" s="2188" t="s">
        <v>755</v>
      </c>
      <c r="D698" s="2108" t="s">
        <v>747</v>
      </c>
      <c r="E698" s="2148">
        <v>216328</v>
      </c>
      <c r="F698" s="2141">
        <v>0</v>
      </c>
      <c r="G698" s="2142">
        <v>776283</v>
      </c>
      <c r="H698" s="2143"/>
    </row>
    <row r="699" spans="1:8" s="1370" customFormat="1" ht="15" customHeight="1">
      <c r="A699" s="1408"/>
      <c r="B699" s="1469"/>
      <c r="C699" s="2188" t="s">
        <v>855</v>
      </c>
      <c r="D699" s="2108" t="s">
        <v>747</v>
      </c>
      <c r="E699" s="2148">
        <v>9649676</v>
      </c>
      <c r="F699" s="2141">
        <v>0</v>
      </c>
      <c r="G699" s="2142">
        <v>9647625</v>
      </c>
      <c r="H699" s="2143"/>
    </row>
    <row r="700" spans="1:8" s="1370" customFormat="1" ht="13.5" hidden="1" customHeight="1">
      <c r="A700" s="1408"/>
      <c r="B700" s="1469"/>
      <c r="C700" s="2188" t="s">
        <v>870</v>
      </c>
      <c r="D700" s="2108" t="s">
        <v>747</v>
      </c>
      <c r="E700" s="2148">
        <v>0</v>
      </c>
      <c r="F700" s="2141"/>
      <c r="G700" s="2142"/>
      <c r="H700" s="2143"/>
    </row>
    <row r="701" spans="1:8" s="1370" customFormat="1" ht="16.5" customHeight="1">
      <c r="A701" s="1408"/>
      <c r="B701" s="1469"/>
      <c r="C701" s="2188" t="s">
        <v>856</v>
      </c>
      <c r="D701" s="2108" t="s">
        <v>747</v>
      </c>
      <c r="E701" s="2148">
        <v>1702884</v>
      </c>
      <c r="F701" s="2141">
        <v>0</v>
      </c>
      <c r="G701" s="2142">
        <v>1702522</v>
      </c>
      <c r="H701" s="2143"/>
    </row>
    <row r="702" spans="1:8" s="1370" customFormat="1" ht="16.5" customHeight="1">
      <c r="A702" s="1408"/>
      <c r="B702" s="1469"/>
      <c r="C702" s="2227" t="s">
        <v>746</v>
      </c>
      <c r="D702" s="2114" t="s">
        <v>801</v>
      </c>
      <c r="E702" s="2148">
        <v>250000</v>
      </c>
      <c r="F702" s="2141">
        <v>250000</v>
      </c>
      <c r="G702" s="2142">
        <v>100000</v>
      </c>
      <c r="H702" s="2143">
        <f>G702/F702</f>
        <v>0.4</v>
      </c>
    </row>
    <row r="703" spans="1:8" s="1370" customFormat="1" ht="54" hidden="1" customHeight="1">
      <c r="A703" s="1408"/>
      <c r="B703" s="1469"/>
      <c r="C703" s="2227" t="s">
        <v>839</v>
      </c>
      <c r="D703" s="2228" t="s">
        <v>857</v>
      </c>
      <c r="E703" s="2148">
        <v>0</v>
      </c>
      <c r="F703" s="2141"/>
      <c r="G703" s="2142"/>
      <c r="H703" s="2143" t="e">
        <f>G703/F703</f>
        <v>#DIV/0!</v>
      </c>
    </row>
    <row r="704" spans="1:8" s="1370" customFormat="1" ht="57" customHeight="1">
      <c r="A704" s="1429"/>
      <c r="B704" s="1469"/>
      <c r="C704" s="2121" t="s">
        <v>385</v>
      </c>
      <c r="D704" s="2229" t="s">
        <v>842</v>
      </c>
      <c r="E704" s="2148">
        <v>206487</v>
      </c>
      <c r="F704" s="2141">
        <v>206487</v>
      </c>
      <c r="G704" s="2142">
        <v>0</v>
      </c>
      <c r="H704" s="2143">
        <f>G704/F704</f>
        <v>0</v>
      </c>
    </row>
    <row r="705" spans="1:8" s="1370" customFormat="1" ht="43.5" hidden="1" customHeight="1">
      <c r="A705" s="1408"/>
      <c r="B705" s="1469"/>
      <c r="C705" s="2230" t="s">
        <v>880</v>
      </c>
      <c r="D705" s="2231" t="s">
        <v>881</v>
      </c>
      <c r="E705" s="2221">
        <v>0</v>
      </c>
      <c r="F705" s="2141"/>
      <c r="G705" s="2142"/>
      <c r="H705" s="2143" t="e">
        <f>G705/F705</f>
        <v>#DIV/0!</v>
      </c>
    </row>
    <row r="706" spans="1:8" s="1370" customFormat="1" ht="57.75" hidden="1" customHeight="1">
      <c r="A706" s="1408"/>
      <c r="B706" s="1469"/>
      <c r="C706" s="2232" t="s">
        <v>877</v>
      </c>
      <c r="D706" s="2233" t="s">
        <v>757</v>
      </c>
      <c r="E706" s="2148">
        <v>0</v>
      </c>
      <c r="F706" s="2141"/>
      <c r="G706" s="2142"/>
      <c r="H706" s="2143" t="e">
        <f>G706/F706</f>
        <v>#DIV/0!</v>
      </c>
    </row>
    <row r="707" spans="1:8" s="1370" customFormat="1" ht="13.5" customHeight="1">
      <c r="A707" s="1408"/>
      <c r="B707" s="1469"/>
      <c r="C707" s="4848"/>
      <c r="D707" s="4849"/>
      <c r="E707" s="2198"/>
      <c r="F707" s="2141"/>
      <c r="G707" s="2142"/>
      <c r="H707" s="2143"/>
    </row>
    <row r="708" spans="1:8" s="1370" customFormat="1" ht="16.5" customHeight="1">
      <c r="A708" s="1408"/>
      <c r="B708" s="1469"/>
      <c r="C708" s="4830" t="s">
        <v>758</v>
      </c>
      <c r="D708" s="4831"/>
      <c r="E708" s="2234">
        <f>SUM(E709:E714)</f>
        <v>11775375</v>
      </c>
      <c r="F708" s="2235">
        <f>SUM(F709:F714)</f>
        <v>206487</v>
      </c>
      <c r="G708" s="2236">
        <f>SUM(G709:G714)</f>
        <v>11566430</v>
      </c>
      <c r="H708" s="2237">
        <f>G708/F708</f>
        <v>56.015293941022918</v>
      </c>
    </row>
    <row r="709" spans="1:8" s="1370" customFormat="1" ht="15.75" customHeight="1">
      <c r="A709" s="1408"/>
      <c r="B709" s="1469"/>
      <c r="C709" s="2104" t="s">
        <v>755</v>
      </c>
      <c r="D709" s="2108" t="s">
        <v>747</v>
      </c>
      <c r="E709" s="2198">
        <v>216328</v>
      </c>
      <c r="F709" s="2141">
        <v>0</v>
      </c>
      <c r="G709" s="2142">
        <v>216283</v>
      </c>
      <c r="H709" s="2143"/>
    </row>
    <row r="710" spans="1:8" s="1370" customFormat="1" ht="15.75" customHeight="1">
      <c r="A710" s="1408"/>
      <c r="B710" s="1469"/>
      <c r="C710" s="2104" t="s">
        <v>855</v>
      </c>
      <c r="D710" s="2108" t="s">
        <v>747</v>
      </c>
      <c r="E710" s="2198">
        <v>9649676</v>
      </c>
      <c r="F710" s="2141">
        <v>0</v>
      </c>
      <c r="G710" s="2142">
        <v>9647625</v>
      </c>
      <c r="H710" s="2143"/>
    </row>
    <row r="711" spans="1:8" s="1370" customFormat="1" ht="15.75" hidden="1" customHeight="1">
      <c r="A711" s="1408"/>
      <c r="B711" s="1469"/>
      <c r="C711" s="2104" t="s">
        <v>870</v>
      </c>
      <c r="D711" s="2108" t="s">
        <v>747</v>
      </c>
      <c r="E711" s="2198">
        <v>0</v>
      </c>
      <c r="F711" s="2141"/>
      <c r="G711" s="2142"/>
      <c r="H711" s="2143"/>
    </row>
    <row r="712" spans="1:8" s="1370" customFormat="1" ht="15.75" customHeight="1">
      <c r="A712" s="1429"/>
      <c r="B712" s="1469"/>
      <c r="C712" s="2121" t="s">
        <v>856</v>
      </c>
      <c r="D712" s="2238" t="s">
        <v>747</v>
      </c>
      <c r="E712" s="2239">
        <v>1702884</v>
      </c>
      <c r="F712" s="2141">
        <v>0</v>
      </c>
      <c r="G712" s="2142">
        <v>1702522</v>
      </c>
      <c r="H712" s="2143"/>
    </row>
    <row r="713" spans="1:8" s="1370" customFormat="1" ht="51.75" hidden="1" customHeight="1">
      <c r="A713" s="1408"/>
      <c r="B713" s="1469"/>
      <c r="C713" s="2195" t="s">
        <v>839</v>
      </c>
      <c r="D713" s="2240" t="s">
        <v>857</v>
      </c>
      <c r="E713" s="2166">
        <v>0</v>
      </c>
      <c r="F713" s="2141"/>
      <c r="G713" s="2142"/>
      <c r="H713" s="2143" t="e">
        <f t="shared" ref="H713:H726" si="45">G713/F713</f>
        <v>#DIV/0!</v>
      </c>
    </row>
    <row r="714" spans="1:8" s="1370" customFormat="1" ht="54.75" customHeight="1" thickBot="1">
      <c r="A714" s="1591"/>
      <c r="B714" s="1582"/>
      <c r="C714" s="1592" t="s">
        <v>385</v>
      </c>
      <c r="D714" s="1519" t="s">
        <v>842</v>
      </c>
      <c r="E714" s="1520">
        <v>206487</v>
      </c>
      <c r="F714" s="1521">
        <v>206487</v>
      </c>
      <c r="G714" s="1522">
        <v>0</v>
      </c>
      <c r="H714" s="1523">
        <f t="shared" si="45"/>
        <v>0</v>
      </c>
    </row>
    <row r="715" spans="1:8" ht="53.25" hidden="1" customHeight="1" thickBot="1">
      <c r="A715" s="1556"/>
      <c r="B715" s="1564"/>
      <c r="C715" s="2241" t="s">
        <v>877</v>
      </c>
      <c r="D715" s="2242" t="s">
        <v>757</v>
      </c>
      <c r="E715" s="2243">
        <v>0</v>
      </c>
      <c r="F715" s="1909"/>
      <c r="G715" s="2244"/>
      <c r="H715" s="1831" t="e">
        <f t="shared" si="45"/>
        <v>#DIV/0!</v>
      </c>
    </row>
    <row r="716" spans="1:8" ht="16.5" customHeight="1" thickBot="1">
      <c r="A716" s="1595" t="s">
        <v>956</v>
      </c>
      <c r="B716" s="1401"/>
      <c r="C716" s="1402"/>
      <c r="D716" s="1403" t="s">
        <v>957</v>
      </c>
      <c r="E716" s="2097">
        <f>SUM(E721,E730)</f>
        <v>1536963</v>
      </c>
      <c r="F716" s="2098">
        <f>SUM(F721,F730)</f>
        <v>3853711</v>
      </c>
      <c r="G716" s="2099">
        <f>SUM(G721,G730)</f>
        <v>1346586</v>
      </c>
      <c r="H716" s="1602">
        <f t="shared" si="45"/>
        <v>0.34942578724766854</v>
      </c>
    </row>
    <row r="717" spans="1:8" ht="17.100000000000001" hidden="1" customHeight="1" thickBot="1">
      <c r="A717" s="2245"/>
      <c r="B717" s="1500" t="s">
        <v>958</v>
      </c>
      <c r="C717" s="1501"/>
      <c r="D717" s="1502" t="s">
        <v>959</v>
      </c>
      <c r="E717" s="1503">
        <v>0</v>
      </c>
      <c r="F717" s="1504">
        <v>0</v>
      </c>
      <c r="G717" s="2246">
        <v>0</v>
      </c>
      <c r="H717" s="1509" t="e">
        <f t="shared" si="45"/>
        <v>#DIV/0!</v>
      </c>
    </row>
    <row r="718" spans="1:8" ht="17.100000000000001" hidden="1" customHeight="1" thickBot="1">
      <c r="A718" s="2245"/>
      <c r="B718" s="2247"/>
      <c r="C718" s="4850" t="s">
        <v>688</v>
      </c>
      <c r="D718" s="4850"/>
      <c r="E718" s="2248">
        <v>0</v>
      </c>
      <c r="F718" s="2249">
        <v>0</v>
      </c>
      <c r="G718" s="2250">
        <v>0</v>
      </c>
      <c r="H718" s="2226" t="e">
        <f t="shared" si="45"/>
        <v>#DIV/0!</v>
      </c>
    </row>
    <row r="719" spans="1:8" ht="17.100000000000001" hidden="1" customHeight="1" thickBot="1">
      <c r="A719" s="2245"/>
      <c r="B719" s="2251"/>
      <c r="C719" s="4837" t="s">
        <v>797</v>
      </c>
      <c r="D719" s="4837"/>
      <c r="E719" s="2252">
        <v>0</v>
      </c>
      <c r="F719" s="2253">
        <v>0</v>
      </c>
      <c r="G719" s="2254">
        <v>0</v>
      </c>
      <c r="H719" s="2226" t="e">
        <f t="shared" si="45"/>
        <v>#DIV/0!</v>
      </c>
    </row>
    <row r="720" spans="1:8" ht="63" hidden="1" customHeight="1" thickBot="1">
      <c r="A720" s="2245"/>
      <c r="B720" s="2251"/>
      <c r="C720" s="2255" t="s">
        <v>374</v>
      </c>
      <c r="D720" s="2256" t="s">
        <v>899</v>
      </c>
      <c r="E720" s="2252">
        <v>0</v>
      </c>
      <c r="F720" s="2253">
        <v>0</v>
      </c>
      <c r="G720" s="2254">
        <v>0</v>
      </c>
      <c r="H720" s="2257" t="e">
        <f t="shared" si="45"/>
        <v>#DIV/0!</v>
      </c>
    </row>
    <row r="721" spans="1:10" ht="20.25" customHeight="1" thickBot="1">
      <c r="A721" s="2258"/>
      <c r="B721" s="2259" t="s">
        <v>960</v>
      </c>
      <c r="C721" s="2260"/>
      <c r="D721" s="2261" t="s">
        <v>426</v>
      </c>
      <c r="E721" s="2262">
        <f>SUM(E722)</f>
        <v>350000</v>
      </c>
      <c r="F721" s="2263">
        <f>SUM(F722)</f>
        <v>350000</v>
      </c>
      <c r="G721" s="2264">
        <f>SUM(G722)</f>
        <v>352000</v>
      </c>
      <c r="H721" s="2265">
        <f t="shared" si="45"/>
        <v>1.0057142857142858</v>
      </c>
    </row>
    <row r="722" spans="1:10" ht="18.75" customHeight="1">
      <c r="A722" s="2266"/>
      <c r="B722" s="4838"/>
      <c r="C722" s="4841" t="s">
        <v>688</v>
      </c>
      <c r="D722" s="4841"/>
      <c r="E722" s="2101">
        <f>SUM(E723,E728)</f>
        <v>350000</v>
      </c>
      <c r="F722" s="2102">
        <f>SUM(F723,F728)</f>
        <v>350000</v>
      </c>
      <c r="G722" s="2103">
        <f>SUM(G723,G728)</f>
        <v>352000</v>
      </c>
      <c r="H722" s="1420">
        <f t="shared" si="45"/>
        <v>1.0057142857142858</v>
      </c>
      <c r="J722" s="1370" t="s">
        <v>961</v>
      </c>
    </row>
    <row r="723" spans="1:10" ht="18" customHeight="1">
      <c r="A723" s="2245"/>
      <c r="B723" s="4839"/>
      <c r="C723" s="4835" t="s">
        <v>689</v>
      </c>
      <c r="D723" s="4835"/>
      <c r="E723" s="2221">
        <f t="shared" ref="E723:G724" si="46">SUM(E724)</f>
        <v>5000</v>
      </c>
      <c r="F723" s="1451">
        <f t="shared" si="46"/>
        <v>5000</v>
      </c>
      <c r="G723" s="2222">
        <f t="shared" si="46"/>
        <v>7000</v>
      </c>
      <c r="H723" s="2267">
        <f t="shared" si="45"/>
        <v>1.4</v>
      </c>
    </row>
    <row r="724" spans="1:10" ht="20.25" customHeight="1">
      <c r="A724" s="2245"/>
      <c r="B724" s="4839"/>
      <c r="C724" s="4830" t="s">
        <v>704</v>
      </c>
      <c r="D724" s="4830"/>
      <c r="E724" s="2268">
        <f t="shared" si="46"/>
        <v>5000</v>
      </c>
      <c r="F724" s="1578">
        <f t="shared" si="46"/>
        <v>5000</v>
      </c>
      <c r="G724" s="2269">
        <f t="shared" si="46"/>
        <v>7000</v>
      </c>
      <c r="H724" s="2270">
        <f t="shared" si="45"/>
        <v>1.4</v>
      </c>
    </row>
    <row r="725" spans="1:10" ht="18" customHeight="1">
      <c r="A725" s="2245"/>
      <c r="B725" s="4839"/>
      <c r="C725" s="2188" t="s">
        <v>717</v>
      </c>
      <c r="D725" s="2108" t="s">
        <v>718</v>
      </c>
      <c r="E725" s="2221">
        <v>5000</v>
      </c>
      <c r="F725" s="2141">
        <v>5000</v>
      </c>
      <c r="G725" s="2142">
        <v>7000</v>
      </c>
      <c r="H725" s="2143">
        <f t="shared" si="45"/>
        <v>1.4</v>
      </c>
    </row>
    <row r="726" spans="1:10" ht="18" hidden="1" customHeight="1">
      <c r="A726" s="2245"/>
      <c r="B726" s="4839"/>
      <c r="C726" s="1472" t="s">
        <v>815</v>
      </c>
      <c r="D726" s="2271" t="s">
        <v>816</v>
      </c>
      <c r="E726" s="2221">
        <v>0</v>
      </c>
      <c r="F726" s="2141"/>
      <c r="G726" s="2142"/>
      <c r="H726" s="2143" t="e">
        <f t="shared" si="45"/>
        <v>#DIV/0!</v>
      </c>
    </row>
    <row r="727" spans="1:10" ht="18" customHeight="1">
      <c r="A727" s="2245"/>
      <c r="B727" s="4839"/>
      <c r="C727" s="4842"/>
      <c r="D727" s="4843"/>
      <c r="E727" s="2166"/>
      <c r="F727" s="2141"/>
      <c r="G727" s="2142"/>
      <c r="H727" s="2143"/>
    </row>
    <row r="728" spans="1:10" ht="18" customHeight="1">
      <c r="A728" s="2245"/>
      <c r="B728" s="4839"/>
      <c r="C728" s="4748" t="s">
        <v>741</v>
      </c>
      <c r="D728" s="4844"/>
      <c r="E728" s="1457">
        <f>SUM(E729)</f>
        <v>345000</v>
      </c>
      <c r="F728" s="2095">
        <f>SUM(F729)</f>
        <v>345000</v>
      </c>
      <c r="G728" s="2272">
        <f>SUM(G729)</f>
        <v>345000</v>
      </c>
      <c r="H728" s="2143">
        <f>G728/F728</f>
        <v>1</v>
      </c>
    </row>
    <row r="729" spans="1:10" ht="20.25" customHeight="1" thickBot="1">
      <c r="A729" s="2266"/>
      <c r="B729" s="4840"/>
      <c r="C729" s="2273" t="s">
        <v>962</v>
      </c>
      <c r="D729" s="2274" t="s">
        <v>963</v>
      </c>
      <c r="E729" s="2275">
        <v>345000</v>
      </c>
      <c r="F729" s="1538">
        <v>345000</v>
      </c>
      <c r="G729" s="2146">
        <v>345000</v>
      </c>
      <c r="H729" s="1540">
        <f>G729/F729</f>
        <v>1</v>
      </c>
    </row>
    <row r="730" spans="1:10" ht="17.100000000000001" customHeight="1" thickBot="1">
      <c r="A730" s="2276"/>
      <c r="B730" s="1541" t="s">
        <v>964</v>
      </c>
      <c r="C730" s="1542"/>
      <c r="D730" s="2184" t="s">
        <v>312</v>
      </c>
      <c r="E730" s="1544">
        <f>SUM(E731,E781)</f>
        <v>1186963</v>
      </c>
      <c r="F730" s="1545">
        <f>SUM(F731,F781)</f>
        <v>3503711</v>
      </c>
      <c r="G730" s="1546">
        <f>SUM(G731,G781)</f>
        <v>994586</v>
      </c>
      <c r="H730" s="1547">
        <f>G730/F730</f>
        <v>0.28386644903075625</v>
      </c>
    </row>
    <row r="731" spans="1:10" ht="17.100000000000001" customHeight="1">
      <c r="A731" s="1556"/>
      <c r="B731" s="4520"/>
      <c r="C731" s="4834" t="s">
        <v>688</v>
      </c>
      <c r="D731" s="4834"/>
      <c r="E731" s="2277">
        <f>SUM(E732,E736,E742)</f>
        <v>1074500</v>
      </c>
      <c r="F731" s="1418">
        <f>SUM(F732,F736,F742)</f>
        <v>1783711</v>
      </c>
      <c r="G731" s="2278">
        <f>SUM(G732,G736,G742)</f>
        <v>994586</v>
      </c>
      <c r="H731" s="1509">
        <f>G731/F731</f>
        <v>0.55759369090620625</v>
      </c>
    </row>
    <row r="732" spans="1:10" ht="17.100000000000001" customHeight="1">
      <c r="A732" s="1556"/>
      <c r="B732" s="4520"/>
      <c r="C732" s="4835" t="s">
        <v>689</v>
      </c>
      <c r="D732" s="4835"/>
      <c r="E732" s="2279">
        <f t="shared" ref="E732:G733" si="47">SUM(E733)</f>
        <v>154500</v>
      </c>
      <c r="F732" s="1451">
        <f t="shared" si="47"/>
        <v>0</v>
      </c>
      <c r="G732" s="2280">
        <f t="shared" si="47"/>
        <v>177675</v>
      </c>
      <c r="H732" s="2143"/>
    </row>
    <row r="733" spans="1:10" ht="17.100000000000001" customHeight="1">
      <c r="A733" s="1556"/>
      <c r="B733" s="4520"/>
      <c r="C733" s="4830" t="s">
        <v>704</v>
      </c>
      <c r="D733" s="4830"/>
      <c r="E733" s="2281">
        <f t="shared" si="47"/>
        <v>154500</v>
      </c>
      <c r="F733" s="1578">
        <f t="shared" si="47"/>
        <v>0</v>
      </c>
      <c r="G733" s="2282">
        <f t="shared" si="47"/>
        <v>177675</v>
      </c>
      <c r="H733" s="2153"/>
    </row>
    <row r="734" spans="1:10" ht="17.100000000000001" customHeight="1">
      <c r="A734" s="1556"/>
      <c r="B734" s="4520"/>
      <c r="C734" s="2188" t="s">
        <v>717</v>
      </c>
      <c r="D734" s="2108" t="s">
        <v>718</v>
      </c>
      <c r="E734" s="2279">
        <v>154500</v>
      </c>
      <c r="F734" s="2141">
        <v>0</v>
      </c>
      <c r="G734" s="2142">
        <v>177675</v>
      </c>
      <c r="H734" s="2143"/>
      <c r="J734" s="1370" t="s">
        <v>965</v>
      </c>
    </row>
    <row r="735" spans="1:10" ht="17.100000000000001" customHeight="1">
      <c r="A735" s="1556"/>
      <c r="B735" s="4520"/>
      <c r="C735" s="2283"/>
      <c r="D735" s="2283"/>
      <c r="E735" s="2277"/>
      <c r="F735" s="2141"/>
      <c r="G735" s="2142"/>
      <c r="H735" s="2143"/>
    </row>
    <row r="736" spans="1:10" ht="17.100000000000001" customHeight="1">
      <c r="A736" s="1556"/>
      <c r="B736" s="4520"/>
      <c r="C736" s="4836" t="s">
        <v>797</v>
      </c>
      <c r="D736" s="4836"/>
      <c r="E736" s="2279">
        <f>SUM(E738:E739)</f>
        <v>50000</v>
      </c>
      <c r="F736" s="1451">
        <f>SUM(F738:F739)</f>
        <v>204500</v>
      </c>
      <c r="G736" s="2280">
        <f>SUM(G738:G739)</f>
        <v>55000</v>
      </c>
      <c r="H736" s="2143">
        <f>G736/F736</f>
        <v>0.26894865525672373</v>
      </c>
    </row>
    <row r="737" spans="1:10" ht="24" hidden="1" customHeight="1">
      <c r="A737" s="1556"/>
      <c r="B737" s="4520"/>
      <c r="C737" s="2188" t="s">
        <v>966</v>
      </c>
      <c r="D737" s="2284" t="s">
        <v>967</v>
      </c>
      <c r="E737" s="2285">
        <v>0</v>
      </c>
      <c r="F737" s="2141"/>
      <c r="G737" s="2142"/>
      <c r="H737" s="2143" t="e">
        <f>G737/F737</f>
        <v>#DIV/0!</v>
      </c>
    </row>
    <row r="738" spans="1:10" ht="28.5" customHeight="1">
      <c r="A738" s="1556"/>
      <c r="B738" s="4520"/>
      <c r="C738" s="2223" t="s">
        <v>968</v>
      </c>
      <c r="D738" s="2284" t="s">
        <v>969</v>
      </c>
      <c r="E738" s="2279">
        <v>0</v>
      </c>
      <c r="F738" s="2141">
        <v>154500</v>
      </c>
      <c r="G738" s="2142">
        <v>0</v>
      </c>
      <c r="H738" s="2143">
        <f>G738/F738</f>
        <v>0</v>
      </c>
    </row>
    <row r="739" spans="1:10" ht="55.5" customHeight="1">
      <c r="A739" s="1556"/>
      <c r="B739" s="4520"/>
      <c r="C739" s="2223" t="s">
        <v>374</v>
      </c>
      <c r="D739" s="2284" t="s">
        <v>817</v>
      </c>
      <c r="E739" s="2279">
        <v>50000</v>
      </c>
      <c r="F739" s="2141">
        <v>50000</v>
      </c>
      <c r="G739" s="2142">
        <v>55000</v>
      </c>
      <c r="H739" s="2143">
        <f>G739/F739</f>
        <v>1.1000000000000001</v>
      </c>
      <c r="J739" s="1370" t="s">
        <v>961</v>
      </c>
    </row>
    <row r="740" spans="1:10" ht="27.75" hidden="1" customHeight="1">
      <c r="A740" s="1556"/>
      <c r="B740" s="4520"/>
      <c r="C740" s="2286" t="s">
        <v>861</v>
      </c>
      <c r="D740" s="2287" t="s">
        <v>862</v>
      </c>
      <c r="E740" s="2221">
        <v>0</v>
      </c>
      <c r="F740" s="2141"/>
      <c r="G740" s="2142"/>
      <c r="H740" s="2143" t="e">
        <f>G740/F740</f>
        <v>#DIV/0!</v>
      </c>
    </row>
    <row r="741" spans="1:10" ht="17.100000000000001" customHeight="1">
      <c r="A741" s="1556"/>
      <c r="B741" s="4520"/>
      <c r="C741" s="2288"/>
      <c r="D741" s="2288"/>
      <c r="E741" s="2225"/>
      <c r="F741" s="2141"/>
      <c r="G741" s="2142"/>
      <c r="H741" s="2143"/>
    </row>
    <row r="742" spans="1:10" ht="17.100000000000001" customHeight="1">
      <c r="A742" s="1556"/>
      <c r="B742" s="4520"/>
      <c r="C742" s="4835" t="s">
        <v>761</v>
      </c>
      <c r="D742" s="4835"/>
      <c r="E742" s="2166">
        <f>SUM(E745:E779)</f>
        <v>870000</v>
      </c>
      <c r="F742" s="2141">
        <f>SUM(F745:F779)</f>
        <v>1579211</v>
      </c>
      <c r="G742" s="2172">
        <f>SUM(G745:G779)</f>
        <v>761911</v>
      </c>
      <c r="H742" s="2143">
        <f t="shared" ref="H742:H759" si="48">G742/F742</f>
        <v>0.48246307808139632</v>
      </c>
    </row>
    <row r="743" spans="1:10" ht="53.25" hidden="1" customHeight="1">
      <c r="A743" s="1556"/>
      <c r="B743" s="1564"/>
      <c r="C743" s="2289" t="s">
        <v>420</v>
      </c>
      <c r="D743" s="2290" t="s">
        <v>948</v>
      </c>
      <c r="E743" s="2166">
        <v>0</v>
      </c>
      <c r="F743" s="2141"/>
      <c r="G743" s="2142"/>
      <c r="H743" s="2143" t="e">
        <f t="shared" si="48"/>
        <v>#DIV/0!</v>
      </c>
    </row>
    <row r="744" spans="1:10" ht="17.25" hidden="1" customHeight="1">
      <c r="A744" s="1556"/>
      <c r="B744" s="1564"/>
      <c r="C744" s="2289" t="s">
        <v>610</v>
      </c>
      <c r="D744" s="2290" t="s">
        <v>825</v>
      </c>
      <c r="E744" s="2166">
        <v>0</v>
      </c>
      <c r="F744" s="2141"/>
      <c r="G744" s="2142"/>
      <c r="H744" s="2143" t="e">
        <f t="shared" si="48"/>
        <v>#DIV/0!</v>
      </c>
    </row>
    <row r="745" spans="1:10" ht="17.25" customHeight="1">
      <c r="A745" s="1556"/>
      <c r="B745" s="1564"/>
      <c r="C745" s="2289" t="s">
        <v>827</v>
      </c>
      <c r="D745" s="2108" t="s">
        <v>693</v>
      </c>
      <c r="E745" s="2166">
        <v>38000</v>
      </c>
      <c r="F745" s="2141">
        <v>99790</v>
      </c>
      <c r="G745" s="2142">
        <v>0</v>
      </c>
      <c r="H745" s="2143">
        <f t="shared" si="48"/>
        <v>0</v>
      </c>
    </row>
    <row r="746" spans="1:10" ht="17.100000000000001" customHeight="1">
      <c r="A746" s="1556"/>
      <c r="B746" s="1564"/>
      <c r="C746" s="2291" t="s">
        <v>766</v>
      </c>
      <c r="D746" s="2108" t="s">
        <v>693</v>
      </c>
      <c r="E746" s="2166">
        <v>14209</v>
      </c>
      <c r="F746" s="2141">
        <v>19182</v>
      </c>
      <c r="G746" s="2142">
        <v>0</v>
      </c>
      <c r="H746" s="2143">
        <f t="shared" si="48"/>
        <v>0</v>
      </c>
    </row>
    <row r="747" spans="1:10" ht="17.100000000000001" customHeight="1">
      <c r="A747" s="1556"/>
      <c r="B747" s="1564"/>
      <c r="C747" s="2291" t="s">
        <v>767</v>
      </c>
      <c r="D747" s="2108" t="s">
        <v>693</v>
      </c>
      <c r="E747" s="2166">
        <v>2508</v>
      </c>
      <c r="F747" s="2141">
        <v>3386</v>
      </c>
      <c r="G747" s="2142">
        <v>0</v>
      </c>
      <c r="H747" s="2143">
        <f t="shared" si="48"/>
        <v>0</v>
      </c>
    </row>
    <row r="748" spans="1:10" ht="17.100000000000001" hidden="1" customHeight="1">
      <c r="A748" s="1556"/>
      <c r="B748" s="1564"/>
      <c r="C748" s="2291" t="s">
        <v>768</v>
      </c>
      <c r="D748" s="2108" t="s">
        <v>695</v>
      </c>
      <c r="E748" s="2166">
        <v>0</v>
      </c>
      <c r="F748" s="2141"/>
      <c r="G748" s="2142"/>
      <c r="H748" s="2143" t="e">
        <f t="shared" si="48"/>
        <v>#DIV/0!</v>
      </c>
    </row>
    <row r="749" spans="1:10" ht="17.100000000000001" hidden="1" customHeight="1">
      <c r="A749" s="1556"/>
      <c r="B749" s="1564"/>
      <c r="C749" s="2291" t="s">
        <v>769</v>
      </c>
      <c r="D749" s="2108" t="s">
        <v>695</v>
      </c>
      <c r="E749" s="2166">
        <v>0</v>
      </c>
      <c r="F749" s="2141"/>
      <c r="G749" s="2142"/>
      <c r="H749" s="2143" t="e">
        <f t="shared" si="48"/>
        <v>#DIV/0!</v>
      </c>
    </row>
    <row r="750" spans="1:10" ht="17.100000000000001" customHeight="1" thickBot="1">
      <c r="A750" s="1797"/>
      <c r="B750" s="2292"/>
      <c r="C750" s="2293" t="s">
        <v>829</v>
      </c>
      <c r="D750" s="2294" t="s">
        <v>697</v>
      </c>
      <c r="E750" s="2140">
        <v>5800</v>
      </c>
      <c r="F750" s="1538">
        <v>15651</v>
      </c>
      <c r="G750" s="2146">
        <v>0</v>
      </c>
      <c r="H750" s="1540">
        <f t="shared" si="48"/>
        <v>0</v>
      </c>
    </row>
    <row r="751" spans="1:10" ht="17.100000000000001" customHeight="1">
      <c r="A751" s="1700"/>
      <c r="B751" s="2295"/>
      <c r="C751" s="2296" t="s">
        <v>770</v>
      </c>
      <c r="D751" s="1586" t="s">
        <v>697</v>
      </c>
      <c r="E751" s="1527">
        <v>2443</v>
      </c>
      <c r="F751" s="1528">
        <v>3298</v>
      </c>
      <c r="G751" s="1587">
        <v>0</v>
      </c>
      <c r="H751" s="1530">
        <f t="shared" si="48"/>
        <v>0</v>
      </c>
    </row>
    <row r="752" spans="1:10" ht="17.100000000000001" customHeight="1">
      <c r="A752" s="1556"/>
      <c r="B752" s="1564"/>
      <c r="C752" s="2291" t="s">
        <v>771</v>
      </c>
      <c r="D752" s="2108" t="s">
        <v>697</v>
      </c>
      <c r="E752" s="2166">
        <v>431</v>
      </c>
      <c r="F752" s="2141">
        <v>582</v>
      </c>
      <c r="G752" s="2142">
        <v>0</v>
      </c>
      <c r="H752" s="2143">
        <f t="shared" si="48"/>
        <v>0</v>
      </c>
    </row>
    <row r="753" spans="1:10" ht="16.5" customHeight="1">
      <c r="A753" s="1556"/>
      <c r="B753" s="1564"/>
      <c r="C753" s="2107" t="s">
        <v>830</v>
      </c>
      <c r="D753" s="2108" t="s">
        <v>699</v>
      </c>
      <c r="E753" s="2166">
        <v>908</v>
      </c>
      <c r="F753" s="2141">
        <v>2230</v>
      </c>
      <c r="G753" s="2142">
        <v>0</v>
      </c>
      <c r="H753" s="2143">
        <f t="shared" si="48"/>
        <v>0</v>
      </c>
    </row>
    <row r="754" spans="1:10" ht="16.5" customHeight="1">
      <c r="A754" s="1750"/>
      <c r="B754" s="1564"/>
      <c r="C754" s="2297" t="s">
        <v>772</v>
      </c>
      <c r="D754" s="2238" t="s">
        <v>699</v>
      </c>
      <c r="E754" s="2166">
        <v>348</v>
      </c>
      <c r="F754" s="2141">
        <v>470</v>
      </c>
      <c r="G754" s="2142">
        <v>0</v>
      </c>
      <c r="H754" s="2143">
        <f t="shared" si="48"/>
        <v>0</v>
      </c>
    </row>
    <row r="755" spans="1:10" ht="16.5" customHeight="1">
      <c r="A755" s="1556"/>
      <c r="B755" s="1564"/>
      <c r="C755" s="2298" t="s">
        <v>773</v>
      </c>
      <c r="D755" s="2231" t="s">
        <v>699</v>
      </c>
      <c r="E755" s="2299">
        <v>61</v>
      </c>
      <c r="F755" s="1451">
        <v>82</v>
      </c>
      <c r="G755" s="2300">
        <v>0</v>
      </c>
      <c r="H755" s="1453">
        <f t="shared" si="48"/>
        <v>0</v>
      </c>
    </row>
    <row r="756" spans="1:10" ht="17.100000000000001" customHeight="1">
      <c r="A756" s="1556"/>
      <c r="B756" s="1750"/>
      <c r="C756" s="2188" t="s">
        <v>970</v>
      </c>
      <c r="D756" s="2108" t="s">
        <v>701</v>
      </c>
      <c r="E756" s="2166">
        <v>50000</v>
      </c>
      <c r="F756" s="2141">
        <v>4500</v>
      </c>
      <c r="G756" s="2142">
        <v>20000</v>
      </c>
      <c r="H756" s="2143">
        <f t="shared" si="48"/>
        <v>4.4444444444444446</v>
      </c>
      <c r="J756" s="1370" t="s">
        <v>940</v>
      </c>
    </row>
    <row r="757" spans="1:10" ht="17.100000000000001" hidden="1" customHeight="1">
      <c r="A757" s="1556"/>
      <c r="B757" s="1750"/>
      <c r="C757" s="2188" t="s">
        <v>774</v>
      </c>
      <c r="D757" s="2108" t="s">
        <v>701</v>
      </c>
      <c r="E757" s="2166">
        <v>0</v>
      </c>
      <c r="F757" s="2141"/>
      <c r="G757" s="2142"/>
      <c r="H757" s="2143" t="e">
        <f t="shared" si="48"/>
        <v>#DIV/0!</v>
      </c>
    </row>
    <row r="758" spans="1:10" ht="17.100000000000001" hidden="1" customHeight="1">
      <c r="A758" s="1556"/>
      <c r="B758" s="1750"/>
      <c r="C758" s="2188" t="s">
        <v>775</v>
      </c>
      <c r="D758" s="2108" t="s">
        <v>701</v>
      </c>
      <c r="E758" s="2166">
        <v>0</v>
      </c>
      <c r="F758" s="2141"/>
      <c r="G758" s="2142"/>
      <c r="H758" s="2143" t="e">
        <f t="shared" si="48"/>
        <v>#DIV/0!</v>
      </c>
    </row>
    <row r="759" spans="1:10" ht="17.100000000000001" customHeight="1">
      <c r="A759" s="1556"/>
      <c r="B759" s="1750"/>
      <c r="C759" s="2188" t="s">
        <v>832</v>
      </c>
      <c r="D759" s="2108" t="s">
        <v>708</v>
      </c>
      <c r="E759" s="2166">
        <v>100000</v>
      </c>
      <c r="F759" s="2141">
        <v>165500</v>
      </c>
      <c r="G759" s="2142">
        <v>50000</v>
      </c>
      <c r="H759" s="2143">
        <f t="shared" si="48"/>
        <v>0.30211480362537763</v>
      </c>
      <c r="J759" s="1370" t="s">
        <v>940</v>
      </c>
    </row>
    <row r="760" spans="1:10" ht="17.100000000000001" hidden="1" customHeight="1">
      <c r="A760" s="1556"/>
      <c r="B760" s="1750"/>
      <c r="C760" s="2188" t="s">
        <v>779</v>
      </c>
      <c r="D760" s="2108" t="s">
        <v>708</v>
      </c>
      <c r="E760" s="2166">
        <v>1700</v>
      </c>
      <c r="F760" s="2141">
        <v>0</v>
      </c>
      <c r="G760" s="2142">
        <v>0</v>
      </c>
      <c r="H760" s="2143"/>
    </row>
    <row r="761" spans="1:10" ht="17.100000000000001" hidden="1" customHeight="1">
      <c r="A761" s="1556"/>
      <c r="B761" s="1750"/>
      <c r="C761" s="2188" t="s">
        <v>780</v>
      </c>
      <c r="D761" s="2108" t="s">
        <v>708</v>
      </c>
      <c r="E761" s="2166">
        <v>300</v>
      </c>
      <c r="F761" s="2141">
        <v>0</v>
      </c>
      <c r="G761" s="2142">
        <v>0</v>
      </c>
      <c r="H761" s="2143"/>
    </row>
    <row r="762" spans="1:10" ht="17.100000000000001" customHeight="1">
      <c r="A762" s="1556"/>
      <c r="B762" s="1750"/>
      <c r="C762" s="2188" t="s">
        <v>833</v>
      </c>
      <c r="D762" s="2108" t="s">
        <v>718</v>
      </c>
      <c r="E762" s="2166">
        <v>377652</v>
      </c>
      <c r="F762" s="2141">
        <v>654213</v>
      </c>
      <c r="G762" s="2142">
        <v>423028</v>
      </c>
      <c r="H762" s="2143">
        <f>G762/F762</f>
        <v>0.64662120746606988</v>
      </c>
      <c r="J762" s="1370" t="s">
        <v>940</v>
      </c>
    </row>
    <row r="763" spans="1:10" ht="17.100000000000001" customHeight="1">
      <c r="A763" s="1556"/>
      <c r="B763" s="1750"/>
      <c r="C763" s="2188" t="s">
        <v>783</v>
      </c>
      <c r="D763" s="2108" t="s">
        <v>718</v>
      </c>
      <c r="E763" s="2166">
        <v>40800</v>
      </c>
      <c r="F763" s="2141">
        <v>42925</v>
      </c>
      <c r="G763" s="2142">
        <v>0</v>
      </c>
      <c r="H763" s="2143">
        <f>G763/F763</f>
        <v>0</v>
      </c>
    </row>
    <row r="764" spans="1:10" ht="17.100000000000001" customHeight="1">
      <c r="A764" s="1556"/>
      <c r="B764" s="1750"/>
      <c r="C764" s="2188" t="s">
        <v>784</v>
      </c>
      <c r="D764" s="2108" t="s">
        <v>718</v>
      </c>
      <c r="E764" s="2166">
        <v>7200</v>
      </c>
      <c r="F764" s="2141">
        <v>7575</v>
      </c>
      <c r="G764" s="2142">
        <v>0</v>
      </c>
      <c r="H764" s="2143">
        <f>G764/F764</f>
        <v>0</v>
      </c>
    </row>
    <row r="765" spans="1:10" ht="16.5" hidden="1" customHeight="1">
      <c r="A765" s="1556"/>
      <c r="B765" s="1750"/>
      <c r="C765" s="2188" t="s">
        <v>971</v>
      </c>
      <c r="D765" s="2108" t="s">
        <v>901</v>
      </c>
      <c r="E765" s="2166">
        <v>0</v>
      </c>
      <c r="F765" s="2141"/>
      <c r="G765" s="2142"/>
      <c r="H765" s="2143" t="e">
        <f>G765/F765</f>
        <v>#DIV/0!</v>
      </c>
    </row>
    <row r="766" spans="1:10" ht="16.5" hidden="1" customHeight="1">
      <c r="A766" s="1750"/>
      <c r="B766" s="1750"/>
      <c r="C766" s="2121" t="s">
        <v>902</v>
      </c>
      <c r="D766" s="2238" t="s">
        <v>901</v>
      </c>
      <c r="E766" s="2301">
        <v>1700</v>
      </c>
      <c r="F766" s="2141">
        <v>0</v>
      </c>
      <c r="G766" s="2142">
        <v>0</v>
      </c>
      <c r="H766" s="2143"/>
    </row>
    <row r="767" spans="1:10" ht="16.5" hidden="1" customHeight="1">
      <c r="A767" s="1556"/>
      <c r="B767" s="1750"/>
      <c r="C767" s="1472" t="s">
        <v>903</v>
      </c>
      <c r="D767" s="2302" t="s">
        <v>901</v>
      </c>
      <c r="E767" s="2299">
        <v>300</v>
      </c>
      <c r="F767" s="1451">
        <v>0</v>
      </c>
      <c r="G767" s="2300">
        <v>0</v>
      </c>
      <c r="H767" s="1453"/>
    </row>
    <row r="768" spans="1:10" ht="16.5" customHeight="1">
      <c r="A768" s="1556"/>
      <c r="B768" s="1750"/>
      <c r="C768" s="2230" t="s">
        <v>834</v>
      </c>
      <c r="D768" s="2231" t="s">
        <v>722</v>
      </c>
      <c r="E768" s="2301">
        <v>100000</v>
      </c>
      <c r="F768" s="2141">
        <v>320000</v>
      </c>
      <c r="G768" s="2142">
        <v>151883</v>
      </c>
      <c r="H768" s="2143">
        <f t="shared" ref="H768:H779" si="49">G768/F768</f>
        <v>0.474634375</v>
      </c>
      <c r="J768" s="1370" t="s">
        <v>940</v>
      </c>
    </row>
    <row r="769" spans="1:10" ht="16.5" hidden="1" customHeight="1">
      <c r="A769" s="1556"/>
      <c r="B769" s="1750"/>
      <c r="C769" s="2188" t="s">
        <v>785</v>
      </c>
      <c r="D769" s="2108" t="s">
        <v>722</v>
      </c>
      <c r="E769" s="2301">
        <v>0</v>
      </c>
      <c r="F769" s="2141"/>
      <c r="G769" s="2303"/>
      <c r="H769" s="2143" t="e">
        <f t="shared" si="49"/>
        <v>#DIV/0!</v>
      </c>
    </row>
    <row r="770" spans="1:10" ht="16.5" hidden="1" customHeight="1">
      <c r="A770" s="1556"/>
      <c r="B770" s="1750"/>
      <c r="C770" s="2188" t="s">
        <v>786</v>
      </c>
      <c r="D770" s="2108" t="s">
        <v>722</v>
      </c>
      <c r="E770" s="2301">
        <v>0</v>
      </c>
      <c r="F770" s="2141"/>
      <c r="G770" s="2142"/>
      <c r="H770" s="2143" t="e">
        <f t="shared" si="49"/>
        <v>#DIV/0!</v>
      </c>
    </row>
    <row r="771" spans="1:10" ht="18" customHeight="1">
      <c r="A771" s="1750"/>
      <c r="B771" s="1750"/>
      <c r="C771" s="2121" t="s">
        <v>835</v>
      </c>
      <c r="D771" s="2238" t="s">
        <v>726</v>
      </c>
      <c r="E771" s="2301">
        <v>7000</v>
      </c>
      <c r="F771" s="2141">
        <v>7000</v>
      </c>
      <c r="G771" s="2142">
        <v>25000</v>
      </c>
      <c r="H771" s="2143">
        <f t="shared" si="49"/>
        <v>3.5714285714285716</v>
      </c>
      <c r="J771" s="1370" t="s">
        <v>940</v>
      </c>
    </row>
    <row r="772" spans="1:10" ht="18" hidden="1" customHeight="1">
      <c r="A772" s="1556"/>
      <c r="B772" s="1750"/>
      <c r="C772" s="1478" t="s">
        <v>787</v>
      </c>
      <c r="D772" s="1479" t="s">
        <v>726</v>
      </c>
      <c r="E772" s="2299">
        <v>0</v>
      </c>
      <c r="F772" s="2141"/>
      <c r="G772" s="2142"/>
      <c r="H772" s="2143" t="e">
        <f t="shared" si="49"/>
        <v>#DIV/0!</v>
      </c>
    </row>
    <row r="773" spans="1:10" ht="18" hidden="1" customHeight="1">
      <c r="A773" s="1556"/>
      <c r="B773" s="1750"/>
      <c r="C773" s="2227" t="s">
        <v>788</v>
      </c>
      <c r="D773" s="2304" t="s">
        <v>726</v>
      </c>
      <c r="E773" s="2301">
        <v>0</v>
      </c>
      <c r="F773" s="2141"/>
      <c r="G773" s="2142"/>
      <c r="H773" s="2143" t="e">
        <f t="shared" si="49"/>
        <v>#DIV/0!</v>
      </c>
    </row>
    <row r="774" spans="1:10" ht="17.100000000000001" customHeight="1">
      <c r="A774" s="1556"/>
      <c r="B774" s="1750"/>
      <c r="C774" s="2227" t="s">
        <v>972</v>
      </c>
      <c r="D774" s="2304" t="s">
        <v>866</v>
      </c>
      <c r="E774" s="2301">
        <v>40000</v>
      </c>
      <c r="F774" s="2141">
        <v>150000</v>
      </c>
      <c r="G774" s="2142">
        <v>75000</v>
      </c>
      <c r="H774" s="2143">
        <f t="shared" si="49"/>
        <v>0.5</v>
      </c>
      <c r="J774" s="1370" t="s">
        <v>940</v>
      </c>
    </row>
    <row r="775" spans="1:10" ht="17.100000000000001" customHeight="1">
      <c r="A775" s="1556"/>
      <c r="B775" s="1750"/>
      <c r="C775" s="2188" t="s">
        <v>904</v>
      </c>
      <c r="D775" s="2304" t="s">
        <v>866</v>
      </c>
      <c r="E775" s="2301">
        <v>40800</v>
      </c>
      <c r="F775" s="2141">
        <v>36125</v>
      </c>
      <c r="G775" s="2303">
        <v>0</v>
      </c>
      <c r="H775" s="2143">
        <f t="shared" si="49"/>
        <v>0</v>
      </c>
    </row>
    <row r="776" spans="1:10" ht="17.100000000000001" customHeight="1">
      <c r="A776" s="1556"/>
      <c r="B776" s="1750"/>
      <c r="C776" s="2305" t="s">
        <v>905</v>
      </c>
      <c r="D776" s="2306" t="s">
        <v>866</v>
      </c>
      <c r="E776" s="2307">
        <v>7200</v>
      </c>
      <c r="F776" s="2141">
        <v>6375</v>
      </c>
      <c r="G776" s="2303">
        <v>0</v>
      </c>
      <c r="H776" s="2143">
        <f t="shared" si="49"/>
        <v>0</v>
      </c>
    </row>
    <row r="777" spans="1:10" ht="52.5" hidden="1" customHeight="1">
      <c r="A777" s="1556"/>
      <c r="B777" s="1750"/>
      <c r="C777" s="2308" t="s">
        <v>791</v>
      </c>
      <c r="D777" s="2306" t="s">
        <v>792</v>
      </c>
      <c r="E777" s="2307">
        <v>0</v>
      </c>
      <c r="F777" s="2141"/>
      <c r="G777" s="2309"/>
      <c r="H777" s="2143" t="e">
        <f t="shared" si="49"/>
        <v>#DIV/0!</v>
      </c>
    </row>
    <row r="778" spans="1:10" ht="18.75" customHeight="1">
      <c r="A778" s="1556"/>
      <c r="B778" s="1750"/>
      <c r="C778" s="2310" t="s">
        <v>836</v>
      </c>
      <c r="D778" s="2311" t="s">
        <v>740</v>
      </c>
      <c r="E778" s="2307">
        <v>30000</v>
      </c>
      <c r="F778" s="2141">
        <v>40000</v>
      </c>
      <c r="G778" s="2303">
        <v>17000</v>
      </c>
      <c r="H778" s="2143">
        <f t="shared" si="49"/>
        <v>0.42499999999999999</v>
      </c>
      <c r="J778" s="1370" t="s">
        <v>940</v>
      </c>
    </row>
    <row r="779" spans="1:10" ht="18.75" customHeight="1">
      <c r="A779" s="1556"/>
      <c r="B779" s="1750"/>
      <c r="C779" s="2310" t="s">
        <v>837</v>
      </c>
      <c r="D779" s="2312" t="s">
        <v>703</v>
      </c>
      <c r="E779" s="2307">
        <v>640</v>
      </c>
      <c r="F779" s="2141">
        <v>327</v>
      </c>
      <c r="G779" s="2309">
        <v>0</v>
      </c>
      <c r="H779" s="2143">
        <f t="shared" si="49"/>
        <v>0</v>
      </c>
    </row>
    <row r="780" spans="1:10" ht="17.100000000000001" customHeight="1">
      <c r="A780" s="1556"/>
      <c r="B780" s="1750"/>
      <c r="C780" s="4825"/>
      <c r="D780" s="4814"/>
      <c r="E780" s="2313"/>
      <c r="F780" s="2314"/>
      <c r="G780" s="2315"/>
      <c r="H780" s="2316"/>
    </row>
    <row r="781" spans="1:10" ht="17.100000000000001" customHeight="1">
      <c r="A781" s="1556"/>
      <c r="B781" s="1750"/>
      <c r="C781" s="4826" t="s">
        <v>744</v>
      </c>
      <c r="D781" s="4827"/>
      <c r="E781" s="2317">
        <f>SUM(E782)</f>
        <v>112463</v>
      </c>
      <c r="F781" s="2318">
        <f>SUM(F782)</f>
        <v>1720000</v>
      </c>
      <c r="G781" s="2319">
        <f>SUM(G782)</f>
        <v>0</v>
      </c>
      <c r="H781" s="2226">
        <f t="shared" ref="H781:H786" si="50">G781/F781</f>
        <v>0</v>
      </c>
    </row>
    <row r="782" spans="1:10" ht="17.100000000000001" customHeight="1">
      <c r="A782" s="1556"/>
      <c r="B782" s="1750"/>
      <c r="C782" s="4828" t="s">
        <v>745</v>
      </c>
      <c r="D782" s="4829"/>
      <c r="E782" s="2320">
        <f>SUM(E783:E785)</f>
        <v>112463</v>
      </c>
      <c r="F782" s="2321">
        <f>SUM(F783:F785)</f>
        <v>1720000</v>
      </c>
      <c r="G782" s="2322">
        <f>SUM(G783:G785)</f>
        <v>0</v>
      </c>
      <c r="H782" s="2143">
        <f t="shared" si="50"/>
        <v>0</v>
      </c>
    </row>
    <row r="783" spans="1:10" ht="17.100000000000001" customHeight="1">
      <c r="A783" s="1556"/>
      <c r="B783" s="1750"/>
      <c r="C783" s="2323" t="s">
        <v>855</v>
      </c>
      <c r="D783" s="2324" t="s">
        <v>747</v>
      </c>
      <c r="E783" s="2325">
        <v>112463</v>
      </c>
      <c r="F783" s="2321">
        <v>20000</v>
      </c>
      <c r="G783" s="2322">
        <v>0</v>
      </c>
      <c r="H783" s="2143">
        <f t="shared" si="50"/>
        <v>0</v>
      </c>
    </row>
    <row r="784" spans="1:10" ht="42" customHeight="1">
      <c r="A784" s="1556"/>
      <c r="B784" s="1750"/>
      <c r="C784" s="2326" t="s">
        <v>973</v>
      </c>
      <c r="D784" s="2327" t="s">
        <v>974</v>
      </c>
      <c r="E784" s="2328">
        <v>0</v>
      </c>
      <c r="F784" s="2141">
        <v>1464000</v>
      </c>
      <c r="G784" s="2142">
        <v>0</v>
      </c>
      <c r="H784" s="2143">
        <f t="shared" si="50"/>
        <v>0</v>
      </c>
    </row>
    <row r="785" spans="1:10" ht="39.75" customHeight="1">
      <c r="A785" s="1556"/>
      <c r="B785" s="1750"/>
      <c r="C785" s="2329" t="s">
        <v>975</v>
      </c>
      <c r="D785" s="2330" t="s">
        <v>976</v>
      </c>
      <c r="E785" s="2328">
        <v>0</v>
      </c>
      <c r="F785" s="2141">
        <v>236000</v>
      </c>
      <c r="G785" s="2142">
        <v>0</v>
      </c>
      <c r="H785" s="2143">
        <f t="shared" si="50"/>
        <v>0</v>
      </c>
    </row>
    <row r="786" spans="1:10" ht="30" hidden="1" customHeight="1">
      <c r="A786" s="1556"/>
      <c r="B786" s="1750"/>
      <c r="C786" s="2326" t="s">
        <v>977</v>
      </c>
      <c r="D786" s="2331" t="s">
        <v>978</v>
      </c>
      <c r="E786" s="2328">
        <v>0</v>
      </c>
      <c r="F786" s="2141"/>
      <c r="G786" s="2142"/>
      <c r="H786" s="2143" t="e">
        <f t="shared" si="50"/>
        <v>#DIV/0!</v>
      </c>
    </row>
    <row r="787" spans="1:10" ht="17.100000000000001" customHeight="1">
      <c r="A787" s="1556"/>
      <c r="B787" s="1750"/>
      <c r="C787" s="2332"/>
      <c r="D787" s="2071"/>
      <c r="E787" s="2333"/>
      <c r="F787" s="2141"/>
      <c r="G787" s="2142"/>
      <c r="H787" s="2153"/>
    </row>
    <row r="788" spans="1:10" ht="18.75" customHeight="1">
      <c r="A788" s="1556"/>
      <c r="B788" s="1750"/>
      <c r="C788" s="4830" t="s">
        <v>758</v>
      </c>
      <c r="D788" s="4831"/>
      <c r="E788" s="2186">
        <f>SUM(E789:E790)</f>
        <v>112463</v>
      </c>
      <c r="F788" s="2151">
        <f>SUM(F789:F790)</f>
        <v>20000</v>
      </c>
      <c r="G788" s="2187">
        <f>SUM(G789:G790)</f>
        <v>0</v>
      </c>
      <c r="H788" s="2153">
        <f t="shared" ref="H788:H815" si="51">G788/F788</f>
        <v>0</v>
      </c>
    </row>
    <row r="789" spans="1:10" ht="17.100000000000001" customHeight="1" thickBot="1">
      <c r="A789" s="1797"/>
      <c r="B789" s="2001"/>
      <c r="C789" s="2201" t="s">
        <v>855</v>
      </c>
      <c r="D789" s="2294" t="s">
        <v>747</v>
      </c>
      <c r="E789" s="2140">
        <v>112463</v>
      </c>
      <c r="F789" s="1538">
        <v>20000</v>
      </c>
      <c r="G789" s="2146">
        <v>0</v>
      </c>
      <c r="H789" s="1540">
        <f t="shared" si="51"/>
        <v>0</v>
      </c>
      <c r="J789" s="1370" t="s">
        <v>940</v>
      </c>
    </row>
    <row r="790" spans="1:10" ht="42" hidden="1" customHeight="1" thickBot="1">
      <c r="A790" s="1797"/>
      <c r="B790" s="2001"/>
      <c r="C790" s="2334"/>
      <c r="D790" s="2335"/>
      <c r="E790" s="2336">
        <v>0</v>
      </c>
      <c r="F790" s="2337"/>
      <c r="G790" s="2338">
        <v>0</v>
      </c>
      <c r="H790" s="2339" t="e">
        <f t="shared" si="51"/>
        <v>#DIV/0!</v>
      </c>
    </row>
    <row r="791" spans="1:10" ht="26.25" hidden="1" customHeight="1" thickBot="1">
      <c r="A791" s="2340"/>
      <c r="B791" s="2341"/>
      <c r="C791" s="2342" t="s">
        <v>977</v>
      </c>
      <c r="D791" s="2343" t="s">
        <v>978</v>
      </c>
      <c r="E791" s="2344">
        <v>0</v>
      </c>
      <c r="F791" s="2345"/>
      <c r="G791" s="2346"/>
      <c r="H791" s="2347" t="e">
        <f t="shared" si="51"/>
        <v>#DIV/0!</v>
      </c>
    </row>
    <row r="792" spans="1:10" ht="19.5" customHeight="1" thickBot="1">
      <c r="A792" s="1595" t="s">
        <v>979</v>
      </c>
      <c r="B792" s="1401"/>
      <c r="C792" s="1402"/>
      <c r="D792" s="1403" t="s">
        <v>980</v>
      </c>
      <c r="E792" s="2097">
        <f>SUM(E793,E811,E830,E941,E952,E1040,E1059)</f>
        <v>221272568</v>
      </c>
      <c r="F792" s="2098">
        <f>SUM(F793,F811,F830,F941,F952,F1025,F1040,F1059)</f>
        <v>233512443</v>
      </c>
      <c r="G792" s="2099">
        <f>SUM(G793,G811,G830,G941,G952,G1040,G1059)</f>
        <v>250241602</v>
      </c>
      <c r="H792" s="2348">
        <f t="shared" si="51"/>
        <v>1.0716414028523524</v>
      </c>
    </row>
    <row r="793" spans="1:10" ht="17.100000000000001" customHeight="1" thickBot="1">
      <c r="A793" s="1556"/>
      <c r="B793" s="1624" t="s">
        <v>981</v>
      </c>
      <c r="C793" s="1625"/>
      <c r="D793" s="1626" t="s">
        <v>441</v>
      </c>
      <c r="E793" s="1627">
        <f t="shared" ref="E793:G795" si="52">SUM(E794)</f>
        <v>1681860</v>
      </c>
      <c r="F793" s="1628">
        <f t="shared" si="52"/>
        <v>1681860</v>
      </c>
      <c r="G793" s="1629">
        <f t="shared" si="52"/>
        <v>2178028</v>
      </c>
      <c r="H793" s="1630">
        <f t="shared" si="51"/>
        <v>1.2950114753903417</v>
      </c>
    </row>
    <row r="794" spans="1:10" ht="17.100000000000001" customHeight="1">
      <c r="A794" s="1556"/>
      <c r="B794" s="4416"/>
      <c r="C794" s="4823" t="s">
        <v>688</v>
      </c>
      <c r="D794" s="4823"/>
      <c r="E794" s="1841">
        <f t="shared" si="52"/>
        <v>1681860</v>
      </c>
      <c r="F794" s="1634">
        <f t="shared" si="52"/>
        <v>1681860</v>
      </c>
      <c r="G794" s="2349">
        <f t="shared" si="52"/>
        <v>2178028</v>
      </c>
      <c r="H794" s="1636">
        <f t="shared" si="51"/>
        <v>1.2950114753903417</v>
      </c>
    </row>
    <row r="795" spans="1:10" ht="17.100000000000001" customHeight="1">
      <c r="A795" s="1556"/>
      <c r="B795" s="4416"/>
      <c r="C795" s="4832" t="s">
        <v>689</v>
      </c>
      <c r="D795" s="4832"/>
      <c r="E795" s="2350">
        <f t="shared" si="52"/>
        <v>1681860</v>
      </c>
      <c r="F795" s="2351">
        <f t="shared" si="52"/>
        <v>1681860</v>
      </c>
      <c r="G795" s="2352">
        <f t="shared" si="52"/>
        <v>2178028</v>
      </c>
      <c r="H795" s="2353">
        <f t="shared" si="51"/>
        <v>1.2950114753903417</v>
      </c>
    </row>
    <row r="796" spans="1:10" ht="17.100000000000001" customHeight="1">
      <c r="A796" s="1556"/>
      <c r="B796" s="4416"/>
      <c r="C796" s="4833" t="s">
        <v>690</v>
      </c>
      <c r="D796" s="4833"/>
      <c r="E796" s="2354">
        <f>SUM(E797:E802)</f>
        <v>1681860</v>
      </c>
      <c r="F796" s="2355">
        <f>SUM(F797:F802)</f>
        <v>1681860</v>
      </c>
      <c r="G796" s="2356">
        <f>SUM(G797:G802)</f>
        <v>2178028</v>
      </c>
      <c r="H796" s="2357">
        <f t="shared" si="51"/>
        <v>1.2950114753903417</v>
      </c>
      <c r="J796" s="1370" t="s">
        <v>809</v>
      </c>
    </row>
    <row r="797" spans="1:10" ht="17.100000000000001" customHeight="1">
      <c r="A797" s="1556"/>
      <c r="B797" s="4416"/>
      <c r="C797" s="2358" t="s">
        <v>692</v>
      </c>
      <c r="D797" s="2359" t="s">
        <v>693</v>
      </c>
      <c r="E797" s="2350">
        <v>1306500</v>
      </c>
      <c r="F797" s="2351">
        <v>1306500</v>
      </c>
      <c r="G797" s="2360">
        <v>1716608</v>
      </c>
      <c r="H797" s="2353">
        <f t="shared" si="51"/>
        <v>1.3138982013011864</v>
      </c>
    </row>
    <row r="798" spans="1:10" ht="17.100000000000001" customHeight="1">
      <c r="A798" s="1556"/>
      <c r="B798" s="4416"/>
      <c r="C798" s="2361" t="s">
        <v>694</v>
      </c>
      <c r="D798" s="2362" t="s">
        <v>695</v>
      </c>
      <c r="E798" s="2350">
        <v>90066</v>
      </c>
      <c r="F798" s="2351">
        <v>90066</v>
      </c>
      <c r="G798" s="2360">
        <v>112208</v>
      </c>
      <c r="H798" s="2353">
        <f t="shared" si="51"/>
        <v>1.2458419381342571</v>
      </c>
    </row>
    <row r="799" spans="1:10" ht="17.100000000000001" customHeight="1">
      <c r="A799" s="1556"/>
      <c r="B799" s="1653"/>
      <c r="C799" s="2361" t="s">
        <v>696</v>
      </c>
      <c r="D799" s="2362" t="s">
        <v>697</v>
      </c>
      <c r="E799" s="2350">
        <v>240069</v>
      </c>
      <c r="F799" s="2351">
        <v>240069</v>
      </c>
      <c r="G799" s="2360">
        <v>289048</v>
      </c>
      <c r="H799" s="2353">
        <f t="shared" si="51"/>
        <v>1.2040205107698203</v>
      </c>
    </row>
    <row r="800" spans="1:10" ht="16.5" customHeight="1">
      <c r="A800" s="1556"/>
      <c r="B800" s="1653"/>
      <c r="C800" s="2361" t="s">
        <v>698</v>
      </c>
      <c r="D800" s="2362" t="s">
        <v>699</v>
      </c>
      <c r="E800" s="2350">
        <v>34225</v>
      </c>
      <c r="F800" s="2351">
        <v>34225</v>
      </c>
      <c r="G800" s="2360">
        <v>47059</v>
      </c>
      <c r="H800" s="2353">
        <f t="shared" si="51"/>
        <v>1.3749890430971512</v>
      </c>
    </row>
    <row r="801" spans="1:10" ht="18" customHeight="1">
      <c r="A801" s="1556"/>
      <c r="B801" s="1653"/>
      <c r="C801" s="2361" t="s">
        <v>700</v>
      </c>
      <c r="D801" s="2362" t="s">
        <v>701</v>
      </c>
      <c r="E801" s="2350">
        <v>5000</v>
      </c>
      <c r="F801" s="2351">
        <v>5000</v>
      </c>
      <c r="G801" s="2360">
        <v>5000</v>
      </c>
      <c r="H801" s="2353">
        <f t="shared" si="51"/>
        <v>1</v>
      </c>
    </row>
    <row r="802" spans="1:10" ht="18" customHeight="1" thickBot="1">
      <c r="A802" s="1750"/>
      <c r="B802" s="1890"/>
      <c r="C802" s="2363" t="s">
        <v>702</v>
      </c>
      <c r="D802" s="2364" t="s">
        <v>703</v>
      </c>
      <c r="E802" s="2365">
        <v>6000</v>
      </c>
      <c r="F802" s="1676">
        <v>6000</v>
      </c>
      <c r="G802" s="2360">
        <v>8105</v>
      </c>
      <c r="H802" s="1678">
        <f t="shared" si="51"/>
        <v>1.3508333333333333</v>
      </c>
    </row>
    <row r="803" spans="1:10" ht="17.100000000000001" hidden="1" customHeight="1" thickBot="1">
      <c r="A803" s="1556"/>
      <c r="B803" s="1750"/>
      <c r="C803" s="2366"/>
      <c r="D803" s="2366"/>
      <c r="E803" s="2367"/>
      <c r="F803" s="1909"/>
      <c r="G803" s="2368"/>
      <c r="H803" s="1942" t="e">
        <f t="shared" si="51"/>
        <v>#DIV/0!</v>
      </c>
    </row>
    <row r="804" spans="1:10" ht="17.100000000000001" hidden="1" customHeight="1" thickBot="1">
      <c r="A804" s="1556"/>
      <c r="B804" s="1750"/>
      <c r="C804" s="4821" t="s">
        <v>704</v>
      </c>
      <c r="D804" s="4821"/>
      <c r="E804" s="2369">
        <v>0</v>
      </c>
      <c r="F804" s="2314"/>
      <c r="G804" s="2370"/>
      <c r="H804" s="2316" t="e">
        <f t="shared" si="51"/>
        <v>#DIV/0!</v>
      </c>
    </row>
    <row r="805" spans="1:10" ht="17.100000000000001" hidden="1" customHeight="1" thickBot="1">
      <c r="A805" s="1556"/>
      <c r="B805" s="1750"/>
      <c r="C805" s="2371" t="s">
        <v>705</v>
      </c>
      <c r="D805" s="2372" t="s">
        <v>706</v>
      </c>
      <c r="E805" s="2373">
        <v>0</v>
      </c>
      <c r="F805" s="2314"/>
      <c r="G805" s="2370"/>
      <c r="H805" s="2316" t="e">
        <f t="shared" si="51"/>
        <v>#DIV/0!</v>
      </c>
    </row>
    <row r="806" spans="1:10" ht="17.100000000000001" hidden="1" customHeight="1" thickBot="1">
      <c r="A806" s="1556"/>
      <c r="B806" s="1750"/>
      <c r="C806" s="1826" t="s">
        <v>729</v>
      </c>
      <c r="D806" s="1827" t="s">
        <v>730</v>
      </c>
      <c r="E806" s="2373">
        <v>0</v>
      </c>
      <c r="F806" s="2314"/>
      <c r="G806" s="2370"/>
      <c r="H806" s="2316" t="e">
        <f t="shared" si="51"/>
        <v>#DIV/0!</v>
      </c>
    </row>
    <row r="807" spans="1:10" ht="17.100000000000001" hidden="1" customHeight="1" thickBot="1">
      <c r="A807" s="1556"/>
      <c r="B807" s="1750"/>
      <c r="C807" s="2371"/>
      <c r="D807" s="2372"/>
      <c r="E807" s="2373"/>
      <c r="F807" s="2314"/>
      <c r="G807" s="2370"/>
      <c r="H807" s="2316" t="e">
        <f t="shared" si="51"/>
        <v>#DIV/0!</v>
      </c>
    </row>
    <row r="808" spans="1:10" ht="17.100000000000001" hidden="1" customHeight="1" thickBot="1">
      <c r="A808" s="1556"/>
      <c r="B808" s="1750"/>
      <c r="C808" s="4822" t="s">
        <v>797</v>
      </c>
      <c r="D808" s="4822"/>
      <c r="E808" s="2373">
        <v>0</v>
      </c>
      <c r="F808" s="2314"/>
      <c r="G808" s="2370"/>
      <c r="H808" s="2316" t="e">
        <f t="shared" si="51"/>
        <v>#DIV/0!</v>
      </c>
    </row>
    <row r="809" spans="1:10" ht="32.25" hidden="1" customHeight="1" thickBot="1">
      <c r="A809" s="1556"/>
      <c r="B809" s="1750"/>
      <c r="C809" s="2371" t="s">
        <v>353</v>
      </c>
      <c r="D809" s="2372" t="s">
        <v>932</v>
      </c>
      <c r="E809" s="2373">
        <v>0</v>
      </c>
      <c r="F809" s="2314"/>
      <c r="G809" s="2370"/>
      <c r="H809" s="2316" t="e">
        <f t="shared" si="51"/>
        <v>#DIV/0!</v>
      </c>
    </row>
    <row r="810" spans="1:10" ht="17.100000000000001" hidden="1" customHeight="1" thickBot="1">
      <c r="A810" s="1556"/>
      <c r="B810" s="1750"/>
      <c r="C810" s="2371"/>
      <c r="D810" s="2372"/>
      <c r="E810" s="2373"/>
      <c r="F810" s="2314"/>
      <c r="G810" s="2370"/>
      <c r="H810" s="2374" t="e">
        <f t="shared" si="51"/>
        <v>#DIV/0!</v>
      </c>
    </row>
    <row r="811" spans="1:10" ht="17.100000000000001" customHeight="1" thickBot="1">
      <c r="A811" s="1750"/>
      <c r="B811" s="1624" t="s">
        <v>982</v>
      </c>
      <c r="C811" s="1625"/>
      <c r="D811" s="1626" t="s">
        <v>983</v>
      </c>
      <c r="E811" s="1627">
        <f>SUM(E812)</f>
        <v>1369227</v>
      </c>
      <c r="F811" s="1628">
        <f>SUM(F812)</f>
        <v>1352227</v>
      </c>
      <c r="G811" s="1629">
        <f>SUM(G812)</f>
        <v>1603534</v>
      </c>
      <c r="H811" s="1630">
        <f t="shared" si="51"/>
        <v>1.1858467550196823</v>
      </c>
    </row>
    <row r="812" spans="1:10" ht="17.100000000000001" customHeight="1">
      <c r="A812" s="1556"/>
      <c r="B812" s="1653"/>
      <c r="C812" s="4823" t="s">
        <v>688</v>
      </c>
      <c r="D812" s="4823"/>
      <c r="E812" s="1841">
        <f>SUM(E813,E824)</f>
        <v>1369227</v>
      </c>
      <c r="F812" s="1634">
        <f>SUM(F813,F824)</f>
        <v>1352227</v>
      </c>
      <c r="G812" s="2375">
        <f>SUM(G813,G824)</f>
        <v>1603534</v>
      </c>
      <c r="H812" s="1636">
        <f t="shared" si="51"/>
        <v>1.1858467550196823</v>
      </c>
    </row>
    <row r="813" spans="1:10" ht="17.100000000000001" customHeight="1">
      <c r="A813" s="1556"/>
      <c r="B813" s="1653"/>
      <c r="C813" s="4795" t="s">
        <v>689</v>
      </c>
      <c r="D813" s="4795"/>
      <c r="E813" s="2350">
        <f>SUM(E814,E817)</f>
        <v>168987</v>
      </c>
      <c r="F813" s="2351">
        <f>SUM(F814,F817)</f>
        <v>151987</v>
      </c>
      <c r="G813" s="2376">
        <f>SUM(G814,G817)</f>
        <v>200258</v>
      </c>
      <c r="H813" s="2353">
        <f t="shared" si="51"/>
        <v>1.3175995315388815</v>
      </c>
    </row>
    <row r="814" spans="1:10" ht="17.100000000000001" customHeight="1">
      <c r="A814" s="1556"/>
      <c r="B814" s="1653"/>
      <c r="C814" s="4796" t="s">
        <v>690</v>
      </c>
      <c r="D814" s="4796"/>
      <c r="E814" s="2354">
        <f>SUM(E815)</f>
        <v>2100</v>
      </c>
      <c r="F814" s="2355">
        <f>SUM(F815)</f>
        <v>2100</v>
      </c>
      <c r="G814" s="2377">
        <f>SUM(G815)</f>
        <v>2415</v>
      </c>
      <c r="H814" s="2357">
        <f t="shared" si="51"/>
        <v>1.1499999999999999</v>
      </c>
    </row>
    <row r="815" spans="1:10" ht="17.100000000000001" customHeight="1">
      <c r="A815" s="1556"/>
      <c r="B815" s="1653"/>
      <c r="C815" s="2361" t="s">
        <v>700</v>
      </c>
      <c r="D815" s="2362" t="s">
        <v>701</v>
      </c>
      <c r="E815" s="2350">
        <v>2100</v>
      </c>
      <c r="F815" s="2351">
        <v>2100</v>
      </c>
      <c r="G815" s="2378">
        <v>2415</v>
      </c>
      <c r="H815" s="2353">
        <f t="shared" si="51"/>
        <v>1.1499999999999999</v>
      </c>
      <c r="J815" s="1370" t="s">
        <v>965</v>
      </c>
    </row>
    <row r="816" spans="1:10" ht="17.100000000000001" customHeight="1">
      <c r="A816" s="1556"/>
      <c r="B816" s="1653"/>
      <c r="C816" s="1865"/>
      <c r="D816" s="1865"/>
      <c r="E816" s="1866"/>
      <c r="F816" s="2351"/>
      <c r="G816" s="2378"/>
      <c r="H816" s="2353"/>
    </row>
    <row r="817" spans="1:10" ht="17.100000000000001" customHeight="1">
      <c r="A817" s="1556"/>
      <c r="B817" s="1653"/>
      <c r="C817" s="4824" t="s">
        <v>704</v>
      </c>
      <c r="D817" s="4824"/>
      <c r="E817" s="2354">
        <f>SUM(E818:E822)</f>
        <v>166887</v>
      </c>
      <c r="F817" s="2355">
        <f>SUM(F818:F822)</f>
        <v>149887</v>
      </c>
      <c r="G817" s="2377">
        <f>SUM(G818:G822)</f>
        <v>197843</v>
      </c>
      <c r="H817" s="2357">
        <f t="shared" ref="H817:H822" si="53">G817/F817</f>
        <v>1.3199476939294268</v>
      </c>
      <c r="J817" s="1370" t="s">
        <v>965</v>
      </c>
    </row>
    <row r="818" spans="1:10" ht="17.100000000000001" customHeight="1">
      <c r="A818" s="1556"/>
      <c r="B818" s="1653"/>
      <c r="C818" s="2361" t="s">
        <v>707</v>
      </c>
      <c r="D818" s="2362" t="s">
        <v>708</v>
      </c>
      <c r="E818" s="2350">
        <v>48746</v>
      </c>
      <c r="F818" s="2351">
        <v>33746</v>
      </c>
      <c r="G818" s="2379">
        <v>56058</v>
      </c>
      <c r="H818" s="2353">
        <f t="shared" si="53"/>
        <v>1.6611746577372133</v>
      </c>
    </row>
    <row r="819" spans="1:10" ht="17.100000000000001" customHeight="1">
      <c r="A819" s="1556"/>
      <c r="B819" s="1653"/>
      <c r="C819" s="2361" t="s">
        <v>709</v>
      </c>
      <c r="D819" s="2380" t="s">
        <v>710</v>
      </c>
      <c r="E819" s="2350">
        <v>12566</v>
      </c>
      <c r="F819" s="2351">
        <v>12566</v>
      </c>
      <c r="G819" s="2379">
        <v>14451</v>
      </c>
      <c r="H819" s="2353">
        <f t="shared" si="53"/>
        <v>1.1500079579818558</v>
      </c>
    </row>
    <row r="820" spans="1:10" ht="17.100000000000001" customHeight="1">
      <c r="A820" s="1556"/>
      <c r="B820" s="1653"/>
      <c r="C820" s="2381" t="s">
        <v>713</v>
      </c>
      <c r="D820" s="2380" t="s">
        <v>714</v>
      </c>
      <c r="E820" s="2350">
        <v>4120</v>
      </c>
      <c r="F820" s="2351">
        <v>2120</v>
      </c>
      <c r="G820" s="2382">
        <v>4738</v>
      </c>
      <c r="H820" s="2353">
        <f t="shared" si="53"/>
        <v>2.2349056603773585</v>
      </c>
    </row>
    <row r="821" spans="1:10" ht="17.100000000000001" customHeight="1">
      <c r="A821" s="1556"/>
      <c r="B821" s="1653"/>
      <c r="C821" s="2361" t="s">
        <v>717</v>
      </c>
      <c r="D821" s="2380" t="s">
        <v>718</v>
      </c>
      <c r="E821" s="2350">
        <v>96202</v>
      </c>
      <c r="F821" s="2351">
        <v>96202</v>
      </c>
      <c r="G821" s="2382">
        <v>116555</v>
      </c>
      <c r="H821" s="2353">
        <f t="shared" si="53"/>
        <v>1.2115652481237396</v>
      </c>
    </row>
    <row r="822" spans="1:10" ht="17.100000000000001" customHeight="1">
      <c r="A822" s="1556"/>
      <c r="B822" s="1653"/>
      <c r="C822" s="2361" t="s">
        <v>719</v>
      </c>
      <c r="D822" s="2380" t="s">
        <v>720</v>
      </c>
      <c r="E822" s="2350">
        <v>5253</v>
      </c>
      <c r="F822" s="2351">
        <v>5253</v>
      </c>
      <c r="G822" s="2382">
        <v>6041</v>
      </c>
      <c r="H822" s="2353">
        <f t="shared" si="53"/>
        <v>1.1500095183704551</v>
      </c>
    </row>
    <row r="823" spans="1:10" ht="17.100000000000001" customHeight="1">
      <c r="A823" s="1556"/>
      <c r="B823" s="1653"/>
      <c r="C823" s="1861"/>
      <c r="D823" s="2383"/>
      <c r="E823" s="1861"/>
      <c r="F823" s="2351"/>
      <c r="G823" s="2384"/>
      <c r="H823" s="2353"/>
    </row>
    <row r="824" spans="1:10" ht="17.100000000000001" customHeight="1">
      <c r="A824" s="1556"/>
      <c r="B824" s="1653"/>
      <c r="C824" s="4812" t="s">
        <v>741</v>
      </c>
      <c r="D824" s="4812"/>
      <c r="E824" s="2385">
        <f>SUM(E825)</f>
        <v>1200240</v>
      </c>
      <c r="F824" s="1859">
        <f>SUM(F825)</f>
        <v>1200240</v>
      </c>
      <c r="G824" s="2386">
        <f>SUM(G825)</f>
        <v>1403276</v>
      </c>
      <c r="H824" s="2353">
        <f t="shared" ref="H824:H839" si="54">G824/F824</f>
        <v>1.1691628340998468</v>
      </c>
    </row>
    <row r="825" spans="1:10" ht="17.100000000000001" customHeight="1" thickBot="1">
      <c r="A825" s="1556"/>
      <c r="B825" s="1653"/>
      <c r="C825" s="2387" t="s">
        <v>984</v>
      </c>
      <c r="D825" s="2388" t="s">
        <v>985</v>
      </c>
      <c r="E825" s="2389">
        <v>1200240</v>
      </c>
      <c r="F825" s="2351">
        <v>1200240</v>
      </c>
      <c r="G825" s="2384">
        <v>1403276</v>
      </c>
      <c r="H825" s="2353">
        <f t="shared" si="54"/>
        <v>1.1691628340998468</v>
      </c>
      <c r="J825" s="1370" t="s">
        <v>965</v>
      </c>
    </row>
    <row r="826" spans="1:10" ht="17.100000000000001" hidden="1" customHeight="1" thickBot="1">
      <c r="A826" s="1556"/>
      <c r="B826" s="1750"/>
      <c r="C826" s="4813"/>
      <c r="D826" s="4814"/>
      <c r="E826" s="2390"/>
      <c r="F826" s="2314"/>
      <c r="G826" s="2315"/>
      <c r="H826" s="2316" t="e">
        <f t="shared" si="54"/>
        <v>#DIV/0!</v>
      </c>
    </row>
    <row r="827" spans="1:10" ht="17.100000000000001" hidden="1" customHeight="1" thickBot="1">
      <c r="A827" s="1556"/>
      <c r="B827" s="1750"/>
      <c r="C827" s="4815" t="s">
        <v>744</v>
      </c>
      <c r="D827" s="4816"/>
      <c r="E827" s="2391">
        <v>0</v>
      </c>
      <c r="F827" s="2314"/>
      <c r="G827" s="2315"/>
      <c r="H827" s="2316" t="e">
        <f t="shared" si="54"/>
        <v>#DIV/0!</v>
      </c>
    </row>
    <row r="828" spans="1:10" ht="17.100000000000001" hidden="1" customHeight="1" thickBot="1">
      <c r="A828" s="1556"/>
      <c r="B828" s="1750"/>
      <c r="C828" s="4817" t="s">
        <v>745</v>
      </c>
      <c r="D828" s="4818"/>
      <c r="E828" s="2392">
        <v>0</v>
      </c>
      <c r="F828" s="2314"/>
      <c r="G828" s="2315"/>
      <c r="H828" s="2316" t="e">
        <f t="shared" si="54"/>
        <v>#DIV/0!</v>
      </c>
    </row>
    <row r="829" spans="1:10" ht="17.100000000000001" hidden="1" customHeight="1" thickBot="1">
      <c r="A829" s="1556"/>
      <c r="B829" s="1750"/>
      <c r="C829" s="2393" t="s">
        <v>746</v>
      </c>
      <c r="D829" s="2394" t="s">
        <v>801</v>
      </c>
      <c r="E829" s="2395">
        <v>0</v>
      </c>
      <c r="F829" s="2314"/>
      <c r="G829" s="2315"/>
      <c r="H829" s="2396" t="e">
        <f t="shared" si="54"/>
        <v>#DIV/0!</v>
      </c>
    </row>
    <row r="830" spans="1:10" ht="17.100000000000001" customHeight="1" thickBot="1">
      <c r="A830" s="1556"/>
      <c r="B830" s="1624" t="s">
        <v>986</v>
      </c>
      <c r="C830" s="1625"/>
      <c r="D830" s="1626" t="s">
        <v>443</v>
      </c>
      <c r="E830" s="1627">
        <f>SUM(E831,E916)</f>
        <v>155024490</v>
      </c>
      <c r="F830" s="1628">
        <f>SUM(F831,F916)</f>
        <v>160233807</v>
      </c>
      <c r="G830" s="1629">
        <f>SUM(G831,G916)</f>
        <v>193145136</v>
      </c>
      <c r="H830" s="1630">
        <f t="shared" si="54"/>
        <v>1.2053956628515978</v>
      </c>
    </row>
    <row r="831" spans="1:10" ht="17.100000000000001" customHeight="1">
      <c r="A831" s="1556"/>
      <c r="B831" s="1653"/>
      <c r="C831" s="4819" t="s">
        <v>987</v>
      </c>
      <c r="D831" s="4819"/>
      <c r="E831" s="2397">
        <f>SUM(E832,E866,E870)</f>
        <v>150691538</v>
      </c>
      <c r="F831" s="1634">
        <f>SUM(F832,F866,F870)</f>
        <v>153306917</v>
      </c>
      <c r="G831" s="2375">
        <f>SUM(G832,G866,G870)</f>
        <v>188038536</v>
      </c>
      <c r="H831" s="1636">
        <f t="shared" si="54"/>
        <v>1.226549588757303</v>
      </c>
    </row>
    <row r="832" spans="1:10" ht="17.100000000000001" customHeight="1">
      <c r="A832" s="1556"/>
      <c r="B832" s="1750"/>
      <c r="C832" s="4820" t="s">
        <v>689</v>
      </c>
      <c r="D832" s="4820"/>
      <c r="E832" s="2385">
        <f>SUM(E833,E841)</f>
        <v>106951428</v>
      </c>
      <c r="F832" s="1859">
        <f>SUM(F833,F841)</f>
        <v>108066744</v>
      </c>
      <c r="G832" s="2386">
        <f>SUM(G833,G841)</f>
        <v>136558303</v>
      </c>
      <c r="H832" s="2353">
        <f t="shared" si="54"/>
        <v>1.2636477971428473</v>
      </c>
    </row>
    <row r="833" spans="1:10" ht="17.100000000000001" customHeight="1">
      <c r="A833" s="1556"/>
      <c r="B833" s="1750"/>
      <c r="C833" s="4804" t="s">
        <v>690</v>
      </c>
      <c r="D833" s="4804"/>
      <c r="E833" s="2398">
        <f>SUM(E834:E839)</f>
        <v>86335332</v>
      </c>
      <c r="F833" s="1863">
        <f>SUM(F834:F839)</f>
        <v>86700542</v>
      </c>
      <c r="G833" s="2399">
        <f>SUM(G834:G839)</f>
        <v>110472291</v>
      </c>
      <c r="H833" s="2357">
        <f t="shared" si="54"/>
        <v>1.2741822421363871</v>
      </c>
      <c r="J833" s="1370" t="s">
        <v>988</v>
      </c>
    </row>
    <row r="834" spans="1:10" ht="17.100000000000001" customHeight="1">
      <c r="A834" s="1556"/>
      <c r="B834" s="1750"/>
      <c r="C834" s="2400" t="s">
        <v>692</v>
      </c>
      <c r="D834" s="2401" t="s">
        <v>693</v>
      </c>
      <c r="E834" s="2350">
        <v>67465108</v>
      </c>
      <c r="F834" s="2351">
        <v>67716568</v>
      </c>
      <c r="G834" s="2402">
        <f>66383575+503680+19735785</f>
        <v>86623040</v>
      </c>
      <c r="H834" s="2353">
        <f t="shared" si="54"/>
        <v>1.2792000917707467</v>
      </c>
    </row>
    <row r="835" spans="1:10" ht="17.100000000000001" customHeight="1">
      <c r="A835" s="1556"/>
      <c r="B835" s="1750"/>
      <c r="C835" s="2403" t="s">
        <v>694</v>
      </c>
      <c r="D835" s="2401" t="s">
        <v>695</v>
      </c>
      <c r="E835" s="2350">
        <v>4403328</v>
      </c>
      <c r="F835" s="2351">
        <v>4377078</v>
      </c>
      <c r="G835" s="2402">
        <f>4605016+50570+1386077</f>
        <v>6041663</v>
      </c>
      <c r="H835" s="2353">
        <f t="shared" si="54"/>
        <v>1.3802959417218519</v>
      </c>
    </row>
    <row r="836" spans="1:10" ht="17.100000000000001" customHeight="1">
      <c r="A836" s="1556"/>
      <c r="B836" s="1750"/>
      <c r="C836" s="2403" t="s">
        <v>696</v>
      </c>
      <c r="D836" s="2401" t="s">
        <v>697</v>
      </c>
      <c r="E836" s="2350">
        <v>12332906</v>
      </c>
      <c r="F836" s="2351">
        <v>12332906</v>
      </c>
      <c r="G836" s="2402">
        <f>11439833+94340+3522956</f>
        <v>15057129</v>
      </c>
      <c r="H836" s="2353">
        <f t="shared" si="54"/>
        <v>1.2208905995067181</v>
      </c>
    </row>
    <row r="837" spans="1:10" ht="16.5" customHeight="1">
      <c r="A837" s="1556"/>
      <c r="B837" s="1750"/>
      <c r="C837" s="2404" t="s">
        <v>698</v>
      </c>
      <c r="D837" s="2405" t="s">
        <v>699</v>
      </c>
      <c r="E837" s="2350">
        <v>1746129</v>
      </c>
      <c r="F837" s="2351">
        <v>1746129</v>
      </c>
      <c r="G837" s="2402">
        <f>1915784+6728+497765</f>
        <v>2420277</v>
      </c>
      <c r="H837" s="2353">
        <f t="shared" si="54"/>
        <v>1.3860814407182975</v>
      </c>
    </row>
    <row r="838" spans="1:10" ht="17.100000000000001" customHeight="1">
      <c r="A838" s="1750"/>
      <c r="B838" s="1750"/>
      <c r="C838" s="1695" t="s">
        <v>700</v>
      </c>
      <c r="D838" s="1688" t="s">
        <v>701</v>
      </c>
      <c r="E838" s="2385">
        <v>87745</v>
      </c>
      <c r="F838" s="1859">
        <v>227745</v>
      </c>
      <c r="G838" s="2402">
        <f>51000+20000+20000</f>
        <v>91000</v>
      </c>
      <c r="H838" s="1659">
        <f t="shared" si="54"/>
        <v>0.39956969417550331</v>
      </c>
    </row>
    <row r="839" spans="1:10" ht="17.100000000000001" customHeight="1">
      <c r="A839" s="1556"/>
      <c r="B839" s="1750"/>
      <c r="C839" s="2400" t="s">
        <v>702</v>
      </c>
      <c r="D839" s="2401" t="s">
        <v>703</v>
      </c>
      <c r="E839" s="2350">
        <v>300116</v>
      </c>
      <c r="F839" s="2351">
        <v>300116</v>
      </c>
      <c r="G839" s="2402">
        <f>150000+11070+78112</f>
        <v>239182</v>
      </c>
      <c r="H839" s="2353">
        <f t="shared" si="54"/>
        <v>0.79696517346625972</v>
      </c>
    </row>
    <row r="840" spans="1:10" ht="15.75" customHeight="1" thickBot="1">
      <c r="A840" s="2001"/>
      <c r="B840" s="2001"/>
      <c r="C840" s="2406"/>
      <c r="D840" s="2407"/>
      <c r="E840" s="2406"/>
      <c r="F840" s="2408"/>
      <c r="G840" s="2409"/>
      <c r="H840" s="2410"/>
    </row>
    <row r="841" spans="1:10" ht="17.100000000000001" customHeight="1">
      <c r="A841" s="1700"/>
      <c r="B841" s="2411"/>
      <c r="C841" s="4805" t="s">
        <v>704</v>
      </c>
      <c r="D841" s="4806"/>
      <c r="E841" s="1895">
        <f>SUM(E842:E864)</f>
        <v>20616096</v>
      </c>
      <c r="F841" s="2412">
        <f>SUM(F842:F864)</f>
        <v>21366202</v>
      </c>
      <c r="G841" s="1897">
        <f>SUM(G842:G864)</f>
        <v>26086012</v>
      </c>
      <c r="H841" s="1898">
        <f t="shared" ref="H841:H864" si="55">G841/F841</f>
        <v>1.2209007478259355</v>
      </c>
    </row>
    <row r="842" spans="1:10" ht="17.100000000000001" customHeight="1">
      <c r="A842" s="1556"/>
      <c r="B842" s="1750"/>
      <c r="C842" s="2413" t="s">
        <v>705</v>
      </c>
      <c r="D842" s="2414" t="s">
        <v>706</v>
      </c>
      <c r="E842" s="1858">
        <v>684900</v>
      </c>
      <c r="F842" s="2351">
        <v>667400</v>
      </c>
      <c r="G842" s="2415">
        <f>504900+240000</f>
        <v>744900</v>
      </c>
      <c r="H842" s="2353">
        <f t="shared" si="55"/>
        <v>1.1161222655079412</v>
      </c>
      <c r="J842" s="1370" t="s">
        <v>989</v>
      </c>
    </row>
    <row r="843" spans="1:10" s="1622" customFormat="1" ht="17.100000000000001" customHeight="1">
      <c r="A843" s="1631"/>
      <c r="B843" s="1653"/>
      <c r="C843" s="2416" t="s">
        <v>707</v>
      </c>
      <c r="D843" s="2414" t="s">
        <v>708</v>
      </c>
      <c r="E843" s="1858">
        <v>5593613</v>
      </c>
      <c r="F843" s="2351">
        <v>4797113</v>
      </c>
      <c r="G843" s="2415">
        <f>65000+4622000+64740+921500</f>
        <v>5673240</v>
      </c>
      <c r="H843" s="2353">
        <f t="shared" si="55"/>
        <v>1.1826363064618239</v>
      </c>
      <c r="J843" s="1370" t="s">
        <v>990</v>
      </c>
    </row>
    <row r="844" spans="1:10" s="1622" customFormat="1" ht="17.100000000000001" customHeight="1">
      <c r="A844" s="1631"/>
      <c r="B844" s="1653"/>
      <c r="C844" s="2416" t="s">
        <v>709</v>
      </c>
      <c r="D844" s="2414" t="s">
        <v>710</v>
      </c>
      <c r="E844" s="1858">
        <v>105100</v>
      </c>
      <c r="F844" s="2351">
        <v>105100</v>
      </c>
      <c r="G844" s="2415">
        <f>81600+500+32000</f>
        <v>114100</v>
      </c>
      <c r="H844" s="2353">
        <f t="shared" si="55"/>
        <v>1.0856327307326357</v>
      </c>
      <c r="J844" s="1370" t="s">
        <v>988</v>
      </c>
    </row>
    <row r="845" spans="1:10" s="1622" customFormat="1" ht="17.100000000000001" customHeight="1">
      <c r="A845" s="1631"/>
      <c r="B845" s="1653"/>
      <c r="C845" s="2417" t="s">
        <v>711</v>
      </c>
      <c r="D845" s="2418" t="s">
        <v>712</v>
      </c>
      <c r="E845" s="1858">
        <v>3107000</v>
      </c>
      <c r="F845" s="2351">
        <v>4497000</v>
      </c>
      <c r="G845" s="2419">
        <f>6897800+59800+935773</f>
        <v>7893373</v>
      </c>
      <c r="H845" s="2353">
        <f t="shared" si="55"/>
        <v>1.7552530575939516</v>
      </c>
      <c r="J845" s="1370" t="s">
        <v>988</v>
      </c>
    </row>
    <row r="846" spans="1:10" s="1622" customFormat="1" ht="17.100000000000001" customHeight="1">
      <c r="A846" s="1653"/>
      <c r="B846" s="1653"/>
      <c r="C846" s="1695" t="s">
        <v>713</v>
      </c>
      <c r="D846" s="1688" t="s">
        <v>714</v>
      </c>
      <c r="E846" s="2385">
        <v>1725487</v>
      </c>
      <c r="F846" s="1859">
        <v>1453726</v>
      </c>
      <c r="G846" s="2420">
        <f>1308900+6540+746500</f>
        <v>2061940</v>
      </c>
      <c r="H846" s="1659">
        <f t="shared" si="55"/>
        <v>1.4183828314276556</v>
      </c>
      <c r="J846" s="1370" t="s">
        <v>988</v>
      </c>
    </row>
    <row r="847" spans="1:10" s="1622" customFormat="1" ht="17.100000000000001" customHeight="1">
      <c r="A847" s="1631"/>
      <c r="B847" s="1653"/>
      <c r="C847" s="2421" t="s">
        <v>715</v>
      </c>
      <c r="D847" s="2422" t="s">
        <v>716</v>
      </c>
      <c r="E847" s="2423">
        <v>134200</v>
      </c>
      <c r="F847" s="2351">
        <v>173960</v>
      </c>
      <c r="G847" s="2415">
        <f>81200+1000+63300</f>
        <v>145500</v>
      </c>
      <c r="H847" s="2353">
        <f t="shared" si="55"/>
        <v>0.83639917222349969</v>
      </c>
      <c r="J847" s="1370" t="s">
        <v>988</v>
      </c>
    </row>
    <row r="848" spans="1:10" s="1622" customFormat="1" ht="17.100000000000001" customHeight="1">
      <c r="A848" s="1631"/>
      <c r="B848" s="1653"/>
      <c r="C848" s="2424" t="s">
        <v>717</v>
      </c>
      <c r="D848" s="2425" t="s">
        <v>718</v>
      </c>
      <c r="E848" s="2350">
        <v>4681860</v>
      </c>
      <c r="F848" s="2351">
        <v>5274646</v>
      </c>
      <c r="G848" s="2415">
        <f>45000+2650834+81240+1425000+690000</f>
        <v>4892074</v>
      </c>
      <c r="H848" s="2353">
        <f t="shared" si="55"/>
        <v>0.92746963492905499</v>
      </c>
      <c r="J848" s="1370" t="s">
        <v>991</v>
      </c>
    </row>
    <row r="849" spans="1:10" s="1622" customFormat="1" ht="16.5" customHeight="1">
      <c r="A849" s="1631"/>
      <c r="B849" s="1653"/>
      <c r="C849" s="2426" t="s">
        <v>719</v>
      </c>
      <c r="D849" s="2427" t="s">
        <v>720</v>
      </c>
      <c r="E849" s="2385">
        <v>274800</v>
      </c>
      <c r="F849" s="2351">
        <v>224800</v>
      </c>
      <c r="G849" s="2415">
        <f>225000+1150+75500</f>
        <v>301650</v>
      </c>
      <c r="H849" s="2353">
        <f t="shared" si="55"/>
        <v>1.3418594306049823</v>
      </c>
      <c r="J849" s="1370" t="s">
        <v>988</v>
      </c>
    </row>
    <row r="850" spans="1:10" s="1622" customFormat="1" ht="17.100000000000001" customHeight="1">
      <c r="A850" s="1631"/>
      <c r="B850" s="1653"/>
      <c r="C850" s="1695" t="s">
        <v>900</v>
      </c>
      <c r="D850" s="1688" t="s">
        <v>901</v>
      </c>
      <c r="E850" s="2385">
        <v>10200</v>
      </c>
      <c r="F850" s="2351">
        <v>10200</v>
      </c>
      <c r="G850" s="2415">
        <v>10200</v>
      </c>
      <c r="H850" s="2353">
        <f t="shared" si="55"/>
        <v>1</v>
      </c>
      <c r="J850" s="1370" t="s">
        <v>809</v>
      </c>
    </row>
    <row r="851" spans="1:10" s="1622" customFormat="1" ht="17.100000000000001" customHeight="1">
      <c r="A851" s="1631"/>
      <c r="B851" s="1653"/>
      <c r="C851" s="2416" t="s">
        <v>721</v>
      </c>
      <c r="D851" s="2414" t="s">
        <v>722</v>
      </c>
      <c r="E851" s="2385">
        <v>124200</v>
      </c>
      <c r="F851" s="2351">
        <v>89200</v>
      </c>
      <c r="G851" s="2415">
        <f>61200+30000</f>
        <v>91200</v>
      </c>
      <c r="H851" s="2353">
        <f t="shared" si="55"/>
        <v>1.0224215246636772</v>
      </c>
      <c r="J851" s="1370" t="s">
        <v>989</v>
      </c>
    </row>
    <row r="852" spans="1:10" s="1622" customFormat="1" ht="30" customHeight="1">
      <c r="A852" s="1631"/>
      <c r="B852" s="1653"/>
      <c r="C852" s="2416" t="s">
        <v>723</v>
      </c>
      <c r="D852" s="2414" t="s">
        <v>724</v>
      </c>
      <c r="E852" s="2385">
        <v>13000</v>
      </c>
      <c r="F852" s="2351">
        <v>13000</v>
      </c>
      <c r="G852" s="2415">
        <v>0</v>
      </c>
      <c r="H852" s="2353">
        <f t="shared" si="55"/>
        <v>0</v>
      </c>
      <c r="J852" s="1370"/>
    </row>
    <row r="853" spans="1:10" s="1622" customFormat="1" ht="17.100000000000001" customHeight="1">
      <c r="A853" s="1631"/>
      <c r="B853" s="1653"/>
      <c r="C853" s="2416" t="s">
        <v>725</v>
      </c>
      <c r="D853" s="2414" t="s">
        <v>726</v>
      </c>
      <c r="E853" s="2385">
        <v>171500</v>
      </c>
      <c r="F853" s="2351">
        <v>171500</v>
      </c>
      <c r="G853" s="2415">
        <f>153000+2700+20000</f>
        <v>175700</v>
      </c>
      <c r="H853" s="2353">
        <f t="shared" si="55"/>
        <v>1.0244897959183674</v>
      </c>
      <c r="J853" s="1370" t="s">
        <v>988</v>
      </c>
    </row>
    <row r="854" spans="1:10" s="1622" customFormat="1" ht="17.100000000000001" customHeight="1">
      <c r="A854" s="1631"/>
      <c r="B854" s="1653"/>
      <c r="C854" s="2416" t="s">
        <v>865</v>
      </c>
      <c r="D854" s="2414" t="s">
        <v>866</v>
      </c>
      <c r="E854" s="2385">
        <v>270000</v>
      </c>
      <c r="F854" s="2351">
        <v>270000</v>
      </c>
      <c r="G854" s="2415">
        <f>255000+20000</f>
        <v>275000</v>
      </c>
      <c r="H854" s="2353">
        <f t="shared" si="55"/>
        <v>1.0185185185185186</v>
      </c>
      <c r="J854" s="1370" t="s">
        <v>989</v>
      </c>
    </row>
    <row r="855" spans="1:10" s="1622" customFormat="1" ht="17.100000000000001" customHeight="1">
      <c r="A855" s="1631"/>
      <c r="B855" s="1653"/>
      <c r="C855" s="2416" t="s">
        <v>727</v>
      </c>
      <c r="D855" s="2414" t="s">
        <v>728</v>
      </c>
      <c r="E855" s="2385">
        <v>304200</v>
      </c>
      <c r="F855" s="2351">
        <v>264200</v>
      </c>
      <c r="G855" s="2415">
        <f>231000+2200+214000</f>
        <v>447200</v>
      </c>
      <c r="H855" s="2353">
        <f t="shared" si="55"/>
        <v>1.692657077971234</v>
      </c>
      <c r="J855" s="1370" t="s">
        <v>988</v>
      </c>
    </row>
    <row r="856" spans="1:10" s="1622" customFormat="1" ht="17.100000000000001" customHeight="1">
      <c r="A856" s="1631"/>
      <c r="B856" s="1653"/>
      <c r="C856" s="2416" t="s">
        <v>729</v>
      </c>
      <c r="D856" s="2414" t="s">
        <v>730</v>
      </c>
      <c r="E856" s="2385">
        <v>2362436</v>
      </c>
      <c r="F856" s="2351">
        <v>2379936</v>
      </c>
      <c r="G856" s="2415">
        <f>1913822+14136+455377</f>
        <v>2383335</v>
      </c>
      <c r="H856" s="2353">
        <f t="shared" si="55"/>
        <v>1.0014281896656045</v>
      </c>
      <c r="J856" s="1370" t="s">
        <v>988</v>
      </c>
    </row>
    <row r="857" spans="1:10" s="1622" customFormat="1" ht="17.100000000000001" customHeight="1">
      <c r="A857" s="1631"/>
      <c r="B857" s="1653"/>
      <c r="C857" s="2416" t="s">
        <v>731</v>
      </c>
      <c r="D857" s="2414" t="s">
        <v>732</v>
      </c>
      <c r="E857" s="2385">
        <v>151900</v>
      </c>
      <c r="F857" s="2351">
        <v>32900</v>
      </c>
      <c r="G857" s="2415">
        <f>2200+43000</f>
        <v>45200</v>
      </c>
      <c r="H857" s="2353">
        <f t="shared" si="55"/>
        <v>1.3738601823708207</v>
      </c>
      <c r="J857" s="1370" t="s">
        <v>992</v>
      </c>
    </row>
    <row r="858" spans="1:10" s="1622" customFormat="1" ht="28.5" customHeight="1">
      <c r="A858" s="1631"/>
      <c r="B858" s="1653"/>
      <c r="C858" s="2416" t="s">
        <v>753</v>
      </c>
      <c r="D858" s="2422" t="s">
        <v>754</v>
      </c>
      <c r="E858" s="2385">
        <v>5000</v>
      </c>
      <c r="F858" s="2351">
        <v>860</v>
      </c>
      <c r="G858" s="2415">
        <v>2000</v>
      </c>
      <c r="H858" s="2353">
        <f t="shared" si="55"/>
        <v>2.3255813953488373</v>
      </c>
      <c r="J858" s="1370" t="s">
        <v>845</v>
      </c>
    </row>
    <row r="859" spans="1:10" s="1622" customFormat="1" ht="17.100000000000001" customHeight="1">
      <c r="A859" s="1631"/>
      <c r="B859" s="1653"/>
      <c r="C859" s="2416" t="s">
        <v>733</v>
      </c>
      <c r="D859" s="2414" t="s">
        <v>734</v>
      </c>
      <c r="E859" s="2385">
        <v>10200</v>
      </c>
      <c r="F859" s="2351">
        <v>10440</v>
      </c>
      <c r="G859" s="2415">
        <f>10200+500</f>
        <v>10700</v>
      </c>
      <c r="H859" s="2353">
        <f t="shared" si="55"/>
        <v>1.024904214559387</v>
      </c>
      <c r="J859" s="1370" t="s">
        <v>989</v>
      </c>
    </row>
    <row r="860" spans="1:10" s="1622" customFormat="1" ht="17.100000000000001" customHeight="1">
      <c r="A860" s="1631"/>
      <c r="B860" s="1653"/>
      <c r="C860" s="2416" t="s">
        <v>735</v>
      </c>
      <c r="D860" s="2414" t="s">
        <v>736</v>
      </c>
      <c r="E860" s="2385">
        <v>392500</v>
      </c>
      <c r="F860" s="2351">
        <v>235950</v>
      </c>
      <c r="G860" s="2415">
        <f>230000+70200</f>
        <v>300200</v>
      </c>
      <c r="H860" s="2353">
        <f t="shared" si="55"/>
        <v>1.272303454121636</v>
      </c>
      <c r="J860" s="1370" t="s">
        <v>989</v>
      </c>
    </row>
    <row r="861" spans="1:10" s="1622" customFormat="1" ht="17.100000000000001" customHeight="1">
      <c r="A861" s="1631"/>
      <c r="B861" s="1653"/>
      <c r="C861" s="2421" t="s">
        <v>737</v>
      </c>
      <c r="D861" s="2422" t="s">
        <v>738</v>
      </c>
      <c r="E861" s="2385">
        <v>102000</v>
      </c>
      <c r="F861" s="2351">
        <v>102000</v>
      </c>
      <c r="G861" s="2415">
        <v>102000</v>
      </c>
      <c r="H861" s="2353">
        <f t="shared" si="55"/>
        <v>1</v>
      </c>
      <c r="J861" s="1370" t="s">
        <v>809</v>
      </c>
    </row>
    <row r="862" spans="1:10" ht="17.100000000000001" customHeight="1">
      <c r="A862" s="1556"/>
      <c r="B862" s="1750"/>
      <c r="C862" s="2428" t="s">
        <v>847</v>
      </c>
      <c r="D862" s="2429" t="s">
        <v>848</v>
      </c>
      <c r="E862" s="2430">
        <v>0</v>
      </c>
      <c r="F862" s="2141">
        <v>271</v>
      </c>
      <c r="G862" s="2431">
        <v>0</v>
      </c>
      <c r="H862" s="2143">
        <f t="shared" si="55"/>
        <v>0</v>
      </c>
    </row>
    <row r="863" spans="1:10" s="1622" customFormat="1" ht="17.100000000000001" customHeight="1">
      <c r="A863" s="1631"/>
      <c r="B863" s="1653"/>
      <c r="C863" s="2421" t="s">
        <v>815</v>
      </c>
      <c r="D863" s="2422" t="s">
        <v>816</v>
      </c>
      <c r="E863" s="2385">
        <v>102000</v>
      </c>
      <c r="F863" s="2351">
        <v>302000</v>
      </c>
      <c r="G863" s="2415">
        <f>102000+500</f>
        <v>102500</v>
      </c>
      <c r="H863" s="2353">
        <f t="shared" si="55"/>
        <v>0.33940397350993379</v>
      </c>
      <c r="J863" s="1370" t="s">
        <v>989</v>
      </c>
    </row>
    <row r="864" spans="1:10" s="1622" customFormat="1" ht="20.25" customHeight="1">
      <c r="A864" s="1631"/>
      <c r="B864" s="1653"/>
      <c r="C864" s="2413" t="s">
        <v>739</v>
      </c>
      <c r="D864" s="2432" t="s">
        <v>740</v>
      </c>
      <c r="E864" s="2385">
        <v>290000</v>
      </c>
      <c r="F864" s="2351">
        <v>290000</v>
      </c>
      <c r="G864" s="2415">
        <f>204000+10000+100000</f>
        <v>314000</v>
      </c>
      <c r="H864" s="2353">
        <f t="shared" si="55"/>
        <v>1.0827586206896551</v>
      </c>
      <c r="J864" s="1370" t="s">
        <v>988</v>
      </c>
    </row>
    <row r="865" spans="1:10" ht="12" customHeight="1">
      <c r="A865" s="1556"/>
      <c r="B865" s="1750"/>
      <c r="C865" s="2366"/>
      <c r="D865" s="2366"/>
      <c r="E865" s="2367"/>
      <c r="F865" s="2314"/>
      <c r="G865" s="2433"/>
      <c r="H865" s="2316"/>
    </row>
    <row r="866" spans="1:10" ht="17.100000000000001" customHeight="1">
      <c r="A866" s="1556"/>
      <c r="B866" s="1750"/>
      <c r="C866" s="4807" t="s">
        <v>741</v>
      </c>
      <c r="D866" s="4807"/>
      <c r="E866" s="2350">
        <f>SUM(E867)</f>
        <v>438500</v>
      </c>
      <c r="F866" s="2351">
        <f>SUM(F867:F868)</f>
        <v>538643</v>
      </c>
      <c r="G866" s="2434">
        <f>SUM(G867)</f>
        <v>568800</v>
      </c>
      <c r="H866" s="2353">
        <f>G866/F866</f>
        <v>1.0559869895273863</v>
      </c>
    </row>
    <row r="867" spans="1:10" ht="17.100000000000001" customHeight="1">
      <c r="A867" s="1556"/>
      <c r="B867" s="1750"/>
      <c r="C867" s="2435" t="s">
        <v>742</v>
      </c>
      <c r="D867" s="2436" t="s">
        <v>743</v>
      </c>
      <c r="E867" s="2437">
        <v>438500</v>
      </c>
      <c r="F867" s="2351">
        <v>538500</v>
      </c>
      <c r="G867" s="2415">
        <f>142800+1000+425000</f>
        <v>568800</v>
      </c>
      <c r="H867" s="2353">
        <f>G867/F867</f>
        <v>1.056267409470752</v>
      </c>
      <c r="J867" s="1370" t="s">
        <v>988</v>
      </c>
    </row>
    <row r="868" spans="1:10" ht="17.100000000000001" customHeight="1">
      <c r="A868" s="1556"/>
      <c r="B868" s="1750"/>
      <c r="C868" s="2438" t="s">
        <v>984</v>
      </c>
      <c r="D868" s="2439" t="s">
        <v>993</v>
      </c>
      <c r="E868" s="2437"/>
      <c r="F868" s="2351">
        <v>143</v>
      </c>
      <c r="G868" s="2419">
        <v>0</v>
      </c>
      <c r="H868" s="2353">
        <f>G868/F868</f>
        <v>0</v>
      </c>
    </row>
    <row r="869" spans="1:10" ht="12.75" customHeight="1">
      <c r="A869" s="1556"/>
      <c r="B869" s="1750"/>
      <c r="C869" s="2440"/>
      <c r="D869" s="2441"/>
      <c r="E869" s="2440"/>
      <c r="F869" s="1909"/>
      <c r="G869" s="2442"/>
      <c r="H869" s="2316"/>
    </row>
    <row r="870" spans="1:10" s="1622" customFormat="1" ht="17.100000000000001" customHeight="1">
      <c r="A870" s="1631"/>
      <c r="B870" s="1653"/>
      <c r="C870" s="4808" t="s">
        <v>761</v>
      </c>
      <c r="D870" s="4809"/>
      <c r="E870" s="2437">
        <f>SUM(E871:E914)</f>
        <v>43301610</v>
      </c>
      <c r="F870" s="1859">
        <f>SUM(F871:F914)</f>
        <v>44701530</v>
      </c>
      <c r="G870" s="2443">
        <f>SUM(G871:G914)</f>
        <v>50911433</v>
      </c>
      <c r="H870" s="2353">
        <f t="shared" ref="H870:H914" si="56">G870/F870</f>
        <v>1.1389192495200948</v>
      </c>
      <c r="J870" s="1370" t="s">
        <v>809</v>
      </c>
    </row>
    <row r="871" spans="1:10" s="1622" customFormat="1" ht="17.100000000000001" customHeight="1">
      <c r="A871" s="1631"/>
      <c r="B871" s="1653"/>
      <c r="C871" s="2444" t="s">
        <v>994</v>
      </c>
      <c r="D871" s="2436" t="s">
        <v>743</v>
      </c>
      <c r="E871" s="2350">
        <v>25500</v>
      </c>
      <c r="F871" s="2351">
        <v>25500</v>
      </c>
      <c r="G871" s="2445">
        <v>25500</v>
      </c>
      <c r="H871" s="2353">
        <f t="shared" si="56"/>
        <v>1</v>
      </c>
      <c r="J871" s="1370"/>
    </row>
    <row r="872" spans="1:10" s="1622" customFormat="1" ht="17.100000000000001" customHeight="1">
      <c r="A872" s="1631"/>
      <c r="B872" s="1653"/>
      <c r="C872" s="2446" t="s">
        <v>995</v>
      </c>
      <c r="D872" s="2447" t="s">
        <v>743</v>
      </c>
      <c r="E872" s="2350">
        <v>4500</v>
      </c>
      <c r="F872" s="2351">
        <v>4500</v>
      </c>
      <c r="G872" s="2448">
        <v>4500</v>
      </c>
      <c r="H872" s="2353">
        <f t="shared" si="56"/>
        <v>1</v>
      </c>
      <c r="J872" s="1370"/>
    </row>
    <row r="873" spans="1:10" s="1622" customFormat="1" ht="17.100000000000001" customHeight="1">
      <c r="A873" s="1653"/>
      <c r="B873" s="1653"/>
      <c r="C873" s="2449" t="s">
        <v>996</v>
      </c>
      <c r="D873" s="2432" t="s">
        <v>993</v>
      </c>
      <c r="E873" s="2350">
        <v>10200</v>
      </c>
      <c r="F873" s="2351">
        <v>10200</v>
      </c>
      <c r="G873" s="2448">
        <v>20400</v>
      </c>
      <c r="H873" s="2353">
        <f t="shared" si="56"/>
        <v>2</v>
      </c>
      <c r="J873" s="1370"/>
    </row>
    <row r="874" spans="1:10" s="1622" customFormat="1" ht="15" customHeight="1">
      <c r="A874" s="1631"/>
      <c r="B874" s="1653"/>
      <c r="C874" s="2450" t="s">
        <v>997</v>
      </c>
      <c r="D874" s="2451" t="s">
        <v>993</v>
      </c>
      <c r="E874" s="2437">
        <v>1800</v>
      </c>
      <c r="F874" s="1859">
        <v>1800</v>
      </c>
      <c r="G874" s="2448">
        <v>3600</v>
      </c>
      <c r="H874" s="1659">
        <f t="shared" si="56"/>
        <v>2</v>
      </c>
      <c r="J874" s="1370"/>
    </row>
    <row r="875" spans="1:10" s="1622" customFormat="1" ht="17.100000000000001" customHeight="1">
      <c r="A875" s="1653"/>
      <c r="B875" s="1653"/>
      <c r="C875" s="2435" t="s">
        <v>766</v>
      </c>
      <c r="D875" s="2436" t="s">
        <v>693</v>
      </c>
      <c r="E875" s="2437">
        <v>22525000</v>
      </c>
      <c r="F875" s="1859">
        <v>22525000</v>
      </c>
      <c r="G875" s="2448">
        <v>25927397</v>
      </c>
      <c r="H875" s="1659">
        <f t="shared" si="56"/>
        <v>1.1510498113207548</v>
      </c>
      <c r="J875" s="1370"/>
    </row>
    <row r="876" spans="1:10" s="1622" customFormat="1" ht="17.100000000000001" customHeight="1">
      <c r="A876" s="1631"/>
      <c r="B876" s="1653"/>
      <c r="C876" s="2416" t="s">
        <v>767</v>
      </c>
      <c r="D876" s="2414" t="s">
        <v>693</v>
      </c>
      <c r="E876" s="2350">
        <v>3975000</v>
      </c>
      <c r="F876" s="2351">
        <v>3975000</v>
      </c>
      <c r="G876" s="2445">
        <v>4575423</v>
      </c>
      <c r="H876" s="2353">
        <f t="shared" si="56"/>
        <v>1.1510498113207548</v>
      </c>
      <c r="J876" s="1370"/>
    </row>
    <row r="877" spans="1:10" s="1622" customFormat="1" ht="17.100000000000001" customHeight="1">
      <c r="A877" s="1631"/>
      <c r="B877" s="1653"/>
      <c r="C877" s="2403" t="s">
        <v>768</v>
      </c>
      <c r="D877" s="2414" t="s">
        <v>695</v>
      </c>
      <c r="E877" s="2452">
        <v>1474750</v>
      </c>
      <c r="F877" s="2351">
        <v>1474750</v>
      </c>
      <c r="G877" s="2445">
        <v>1658928</v>
      </c>
      <c r="H877" s="2353">
        <f t="shared" si="56"/>
        <v>1.1248876080691643</v>
      </c>
      <c r="J877" s="1370"/>
    </row>
    <row r="878" spans="1:10" s="1622" customFormat="1" ht="17.100000000000001" customHeight="1">
      <c r="A878" s="1631"/>
      <c r="B878" s="1653"/>
      <c r="C878" s="2404" t="s">
        <v>769</v>
      </c>
      <c r="D878" s="2405" t="s">
        <v>695</v>
      </c>
      <c r="E878" s="2350">
        <v>260250</v>
      </c>
      <c r="F878" s="2351">
        <v>260250</v>
      </c>
      <c r="G878" s="2445">
        <v>292752</v>
      </c>
      <c r="H878" s="2353">
        <f t="shared" si="56"/>
        <v>1.1248876080691643</v>
      </c>
      <c r="J878" s="1370"/>
    </row>
    <row r="879" spans="1:10" s="1622" customFormat="1" ht="17.100000000000001" customHeight="1">
      <c r="A879" s="1653"/>
      <c r="B879" s="1653"/>
      <c r="C879" s="2435" t="s">
        <v>770</v>
      </c>
      <c r="D879" s="2436" t="s">
        <v>697</v>
      </c>
      <c r="E879" s="2437">
        <v>4102848</v>
      </c>
      <c r="F879" s="1859">
        <v>4102848</v>
      </c>
      <c r="G879" s="2445">
        <v>4772342</v>
      </c>
      <c r="H879" s="1659">
        <f t="shared" si="56"/>
        <v>1.1631778705913551</v>
      </c>
      <c r="J879" s="1370"/>
    </row>
    <row r="880" spans="1:10" s="1622" customFormat="1" ht="17.100000000000001" customHeight="1">
      <c r="A880" s="1631"/>
      <c r="B880" s="1653"/>
      <c r="C880" s="2416" t="s">
        <v>771</v>
      </c>
      <c r="D880" s="2414" t="s">
        <v>697</v>
      </c>
      <c r="E880" s="2350">
        <v>724032</v>
      </c>
      <c r="F880" s="2351">
        <v>724032</v>
      </c>
      <c r="G880" s="2445">
        <v>842178</v>
      </c>
      <c r="H880" s="2353">
        <f t="shared" si="56"/>
        <v>1.1631778705913551</v>
      </c>
      <c r="J880" s="1370"/>
    </row>
    <row r="881" spans="1:10" s="1622" customFormat="1" ht="16.5" customHeight="1">
      <c r="A881" s="1631"/>
      <c r="B881" s="1653"/>
      <c r="C881" s="2416" t="s">
        <v>772</v>
      </c>
      <c r="D881" s="2414" t="s">
        <v>699</v>
      </c>
      <c r="E881" s="2350">
        <v>587333</v>
      </c>
      <c r="F881" s="2351">
        <v>587333</v>
      </c>
      <c r="G881" s="2445">
        <v>679949</v>
      </c>
      <c r="H881" s="2353">
        <f t="shared" si="56"/>
        <v>1.1576890792787056</v>
      </c>
      <c r="J881" s="1370"/>
    </row>
    <row r="882" spans="1:10" s="1622" customFormat="1" ht="16.5" customHeight="1">
      <c r="A882" s="1631"/>
      <c r="B882" s="1653"/>
      <c r="C882" s="2416" t="s">
        <v>773</v>
      </c>
      <c r="D882" s="2414" t="s">
        <v>699</v>
      </c>
      <c r="E882" s="2350">
        <v>103647</v>
      </c>
      <c r="F882" s="2351">
        <v>103647</v>
      </c>
      <c r="G882" s="2445">
        <v>119991</v>
      </c>
      <c r="H882" s="2353">
        <f t="shared" si="56"/>
        <v>1.1576890792787056</v>
      </c>
      <c r="J882" s="1370"/>
    </row>
    <row r="883" spans="1:10" s="1622" customFormat="1" ht="17.100000000000001" customHeight="1">
      <c r="A883" s="1631"/>
      <c r="B883" s="1653"/>
      <c r="C883" s="2416" t="s">
        <v>774</v>
      </c>
      <c r="D883" s="2414" t="s">
        <v>701</v>
      </c>
      <c r="E883" s="2350">
        <v>893350</v>
      </c>
      <c r="F883" s="2351">
        <v>733550</v>
      </c>
      <c r="G883" s="2445">
        <f>1190850+38250+17000+34000</f>
        <v>1280100</v>
      </c>
      <c r="H883" s="2353">
        <f t="shared" si="56"/>
        <v>1.7450753186558516</v>
      </c>
      <c r="J883" s="1370" t="s">
        <v>998</v>
      </c>
    </row>
    <row r="884" spans="1:10" s="1622" customFormat="1" ht="17.100000000000001" customHeight="1">
      <c r="A884" s="1631"/>
      <c r="B884" s="1653"/>
      <c r="C884" s="2416" t="s">
        <v>775</v>
      </c>
      <c r="D884" s="2414" t="s">
        <v>701</v>
      </c>
      <c r="E884" s="2350">
        <v>157650</v>
      </c>
      <c r="F884" s="2351">
        <v>129450</v>
      </c>
      <c r="G884" s="2445">
        <f>210150+6750+3000+6000</f>
        <v>225900</v>
      </c>
      <c r="H884" s="2353">
        <f t="shared" si="56"/>
        <v>1.7450753186558516</v>
      </c>
      <c r="J884" s="1370" t="s">
        <v>998</v>
      </c>
    </row>
    <row r="885" spans="1:10" s="1622" customFormat="1" ht="17.100000000000001" customHeight="1">
      <c r="A885" s="1631"/>
      <c r="B885" s="1653"/>
      <c r="C885" s="2416" t="s">
        <v>832</v>
      </c>
      <c r="D885" s="2414" t="s">
        <v>708</v>
      </c>
      <c r="E885" s="2350"/>
      <c r="F885" s="2351">
        <v>0</v>
      </c>
      <c r="G885" s="2445">
        <v>36072</v>
      </c>
      <c r="H885" s="2353"/>
      <c r="J885" s="1370" t="s">
        <v>826</v>
      </c>
    </row>
    <row r="886" spans="1:10" s="1622" customFormat="1" ht="17.100000000000001" customHeight="1">
      <c r="A886" s="1631"/>
      <c r="B886" s="1653"/>
      <c r="C886" s="2416" t="s">
        <v>779</v>
      </c>
      <c r="D886" s="2414" t="s">
        <v>708</v>
      </c>
      <c r="E886" s="2350">
        <v>1181500</v>
      </c>
      <c r="F886" s="2351">
        <v>1236927</v>
      </c>
      <c r="G886" s="2445">
        <f>1020000+170000</f>
        <v>1190000</v>
      </c>
      <c r="H886" s="2353">
        <f t="shared" si="56"/>
        <v>0.96206162530205908</v>
      </c>
      <c r="J886" s="1370" t="s">
        <v>898</v>
      </c>
    </row>
    <row r="887" spans="1:10" s="1622" customFormat="1" ht="17.100000000000001" customHeight="1">
      <c r="A887" s="1631"/>
      <c r="B887" s="1653"/>
      <c r="C887" s="2416" t="s">
        <v>780</v>
      </c>
      <c r="D887" s="2414" t="s">
        <v>708</v>
      </c>
      <c r="E887" s="2350">
        <v>208500</v>
      </c>
      <c r="F887" s="2351">
        <v>218281</v>
      </c>
      <c r="G887" s="2445">
        <f>180000+6728+30000</f>
        <v>216728</v>
      </c>
      <c r="H887" s="2353">
        <f t="shared" si="56"/>
        <v>0.99288531754939735</v>
      </c>
      <c r="J887" s="1370" t="s">
        <v>999</v>
      </c>
    </row>
    <row r="888" spans="1:10" s="1622" customFormat="1" ht="17.100000000000001" customHeight="1">
      <c r="A888" s="1631"/>
      <c r="B888" s="1653"/>
      <c r="C888" s="2416" t="s">
        <v>1000</v>
      </c>
      <c r="D888" s="2414" t="s">
        <v>712</v>
      </c>
      <c r="E888" s="2350">
        <v>391000</v>
      </c>
      <c r="F888" s="2351">
        <v>561000</v>
      </c>
      <c r="G888" s="2445">
        <v>1275000</v>
      </c>
      <c r="H888" s="2353">
        <f t="shared" si="56"/>
        <v>2.2727272727272729</v>
      </c>
      <c r="J888" s="1370"/>
    </row>
    <row r="889" spans="1:10" s="1622" customFormat="1" ht="17.100000000000001" customHeight="1">
      <c r="A889" s="1631"/>
      <c r="B889" s="1653"/>
      <c r="C889" s="2416" t="s">
        <v>1001</v>
      </c>
      <c r="D889" s="2414" t="s">
        <v>712</v>
      </c>
      <c r="E889" s="2350">
        <v>69000</v>
      </c>
      <c r="F889" s="2351">
        <v>99000</v>
      </c>
      <c r="G889" s="2445">
        <v>225000</v>
      </c>
      <c r="H889" s="2353">
        <f t="shared" si="56"/>
        <v>2.2727272727272729</v>
      </c>
      <c r="J889" s="1370"/>
    </row>
    <row r="890" spans="1:10" s="1622" customFormat="1" ht="17.100000000000001" customHeight="1">
      <c r="A890" s="1631"/>
      <c r="B890" s="1653"/>
      <c r="C890" s="2416" t="s">
        <v>1002</v>
      </c>
      <c r="D890" s="2414" t="s">
        <v>716</v>
      </c>
      <c r="E890" s="2350">
        <v>22950</v>
      </c>
      <c r="F890" s="2351">
        <v>22950</v>
      </c>
      <c r="G890" s="2445">
        <v>22950</v>
      </c>
      <c r="H890" s="2353">
        <f t="shared" si="56"/>
        <v>1</v>
      </c>
      <c r="J890" s="1370"/>
    </row>
    <row r="891" spans="1:10" s="1622" customFormat="1" ht="17.100000000000001" customHeight="1">
      <c r="A891" s="1631"/>
      <c r="B891" s="1653"/>
      <c r="C891" s="2416" t="s">
        <v>1003</v>
      </c>
      <c r="D891" s="2414" t="s">
        <v>716</v>
      </c>
      <c r="E891" s="2350">
        <v>4050</v>
      </c>
      <c r="F891" s="2351">
        <v>4050</v>
      </c>
      <c r="G891" s="2445">
        <v>4050</v>
      </c>
      <c r="H891" s="2353">
        <f t="shared" si="56"/>
        <v>1</v>
      </c>
      <c r="J891" s="1370"/>
    </row>
    <row r="892" spans="1:10" s="1622" customFormat="1" ht="17.100000000000001" customHeight="1">
      <c r="A892" s="1631"/>
      <c r="B892" s="1653"/>
      <c r="C892" s="2416" t="s">
        <v>783</v>
      </c>
      <c r="D892" s="2414" t="s">
        <v>718</v>
      </c>
      <c r="E892" s="2350">
        <v>2787300</v>
      </c>
      <c r="F892" s="2351">
        <v>3683873</v>
      </c>
      <c r="G892" s="2445">
        <f>569160+78910+59516+3305600</f>
        <v>4013186</v>
      </c>
      <c r="H892" s="2353">
        <f t="shared" si="56"/>
        <v>1.0893931468321518</v>
      </c>
      <c r="J892" s="1370" t="s">
        <v>998</v>
      </c>
    </row>
    <row r="893" spans="1:10" s="1622" customFormat="1" ht="17.100000000000001" customHeight="1">
      <c r="A893" s="1653"/>
      <c r="B893" s="1653"/>
      <c r="C893" s="2404" t="s">
        <v>784</v>
      </c>
      <c r="D893" s="2405" t="s">
        <v>718</v>
      </c>
      <c r="E893" s="2350">
        <v>491876</v>
      </c>
      <c r="F893" s="2351">
        <v>650095</v>
      </c>
      <c r="G893" s="2445">
        <f>100440+13925+9421+583341</f>
        <v>707127</v>
      </c>
      <c r="H893" s="2353">
        <f t="shared" si="56"/>
        <v>1.0877287165721934</v>
      </c>
      <c r="J893" s="1370" t="s">
        <v>998</v>
      </c>
    </row>
    <row r="894" spans="1:10" ht="26.25" hidden="1" customHeight="1">
      <c r="A894" s="1556"/>
      <c r="B894" s="1750"/>
      <c r="C894" s="2453" t="s">
        <v>1004</v>
      </c>
      <c r="D894" s="2454" t="s">
        <v>1005</v>
      </c>
      <c r="E894" s="1565">
        <v>0</v>
      </c>
      <c r="F894" s="2314"/>
      <c r="G894" s="2445"/>
      <c r="H894" s="2316" t="e">
        <f t="shared" si="56"/>
        <v>#DIV/0!</v>
      </c>
    </row>
    <row r="895" spans="1:10" ht="16.5" customHeight="1">
      <c r="A895" s="1556"/>
      <c r="B895" s="1750"/>
      <c r="C895" s="1448" t="s">
        <v>971</v>
      </c>
      <c r="D895" s="2414" t="s">
        <v>901</v>
      </c>
      <c r="E895" s="2430"/>
      <c r="F895" s="2141">
        <v>0</v>
      </c>
      <c r="G895" s="2445">
        <v>4214</v>
      </c>
      <c r="H895" s="2316"/>
      <c r="J895" s="1370" t="s">
        <v>826</v>
      </c>
    </row>
    <row r="896" spans="1:10" s="1622" customFormat="1" ht="16.5" customHeight="1">
      <c r="A896" s="1631"/>
      <c r="B896" s="1653"/>
      <c r="C896" s="2416" t="s">
        <v>902</v>
      </c>
      <c r="D896" s="2414" t="s">
        <v>901</v>
      </c>
      <c r="E896" s="2350">
        <v>5950</v>
      </c>
      <c r="F896" s="2351">
        <v>5950</v>
      </c>
      <c r="G896" s="2445">
        <v>9350</v>
      </c>
      <c r="H896" s="2353">
        <f t="shared" si="56"/>
        <v>1.5714285714285714</v>
      </c>
      <c r="J896" s="1370"/>
    </row>
    <row r="897" spans="1:10" s="1622" customFormat="1" ht="16.5" customHeight="1">
      <c r="A897" s="1631"/>
      <c r="B897" s="1653"/>
      <c r="C897" s="2416" t="s">
        <v>903</v>
      </c>
      <c r="D897" s="2414" t="s">
        <v>901</v>
      </c>
      <c r="E897" s="2350">
        <v>1050</v>
      </c>
      <c r="F897" s="2351">
        <v>1050</v>
      </c>
      <c r="G897" s="2445">
        <f>1650+786</f>
        <v>2436</v>
      </c>
      <c r="H897" s="2353">
        <f t="shared" si="56"/>
        <v>2.3199999999999998</v>
      </c>
      <c r="J897" s="1370" t="s">
        <v>826</v>
      </c>
    </row>
    <row r="898" spans="1:10" s="1622" customFormat="1" ht="17.100000000000001" customHeight="1">
      <c r="A898" s="1631"/>
      <c r="B898" s="1653"/>
      <c r="C898" s="2416" t="s">
        <v>785</v>
      </c>
      <c r="D898" s="2414" t="s">
        <v>722</v>
      </c>
      <c r="E898" s="2350">
        <v>2140461</v>
      </c>
      <c r="F898" s="2351">
        <v>2368669</v>
      </c>
      <c r="G898" s="2445">
        <f>85000+180340+1410384</f>
        <v>1675724</v>
      </c>
      <c r="H898" s="2353">
        <f t="shared" si="56"/>
        <v>0.70745384855376581</v>
      </c>
      <c r="J898" s="1370" t="s">
        <v>1006</v>
      </c>
    </row>
    <row r="899" spans="1:10" s="1622" customFormat="1" ht="16.5" customHeight="1">
      <c r="A899" s="1631"/>
      <c r="B899" s="1653"/>
      <c r="C899" s="2416" t="s">
        <v>786</v>
      </c>
      <c r="D899" s="2414" t="s">
        <v>722</v>
      </c>
      <c r="E899" s="2350">
        <v>378289</v>
      </c>
      <c r="F899" s="2351">
        <v>418001</v>
      </c>
      <c r="G899" s="2445">
        <f>15000+31825+248891</f>
        <v>295716</v>
      </c>
      <c r="H899" s="2353">
        <f t="shared" si="56"/>
        <v>0.70745285298360527</v>
      </c>
      <c r="J899" s="1370" t="s">
        <v>1006</v>
      </c>
    </row>
    <row r="900" spans="1:10" ht="27.75" hidden="1" customHeight="1">
      <c r="A900" s="1556"/>
      <c r="B900" s="1750"/>
      <c r="C900" s="2455" t="s">
        <v>1007</v>
      </c>
      <c r="D900" s="2456" t="s">
        <v>724</v>
      </c>
      <c r="E900" s="2373">
        <v>0</v>
      </c>
      <c r="F900" s="2314"/>
      <c r="G900" s="2445"/>
      <c r="H900" s="2316" t="e">
        <f t="shared" si="56"/>
        <v>#DIV/0!</v>
      </c>
    </row>
    <row r="901" spans="1:10" ht="25.5" hidden="1" customHeight="1">
      <c r="A901" s="1556"/>
      <c r="B901" s="1750"/>
      <c r="C901" s="2455" t="s">
        <v>1008</v>
      </c>
      <c r="D901" s="2456" t="s">
        <v>724</v>
      </c>
      <c r="E901" s="2373">
        <v>0</v>
      </c>
      <c r="F901" s="2314"/>
      <c r="G901" s="2445"/>
      <c r="H901" s="2316" t="e">
        <f t="shared" si="56"/>
        <v>#DIV/0!</v>
      </c>
    </row>
    <row r="902" spans="1:10" s="1622" customFormat="1" ht="17.100000000000001" customHeight="1">
      <c r="A902" s="1631"/>
      <c r="B902" s="1653"/>
      <c r="C902" s="2416" t="s">
        <v>787</v>
      </c>
      <c r="D902" s="2414" t="s">
        <v>726</v>
      </c>
      <c r="E902" s="2350">
        <v>71750</v>
      </c>
      <c r="F902" s="2351">
        <v>71750</v>
      </c>
      <c r="G902" s="2445">
        <f>72250+10200</f>
        <v>82450</v>
      </c>
      <c r="H902" s="2353">
        <f t="shared" si="56"/>
        <v>1.1491289198606272</v>
      </c>
      <c r="J902" s="1370" t="s">
        <v>898</v>
      </c>
    </row>
    <row r="903" spans="1:10" s="1622" customFormat="1" ht="17.100000000000001" customHeight="1">
      <c r="A903" s="1631"/>
      <c r="B903" s="1653"/>
      <c r="C903" s="2421" t="s">
        <v>788</v>
      </c>
      <c r="D903" s="2422" t="s">
        <v>726</v>
      </c>
      <c r="E903" s="2389">
        <v>12662</v>
      </c>
      <c r="F903" s="2351">
        <v>12662</v>
      </c>
      <c r="G903" s="2457">
        <f>12750+1800</f>
        <v>14550</v>
      </c>
      <c r="H903" s="2353">
        <f t="shared" si="56"/>
        <v>1.1491075659453482</v>
      </c>
      <c r="J903" s="1370" t="s">
        <v>898</v>
      </c>
    </row>
    <row r="904" spans="1:10" s="1622" customFormat="1" ht="17.100000000000001" customHeight="1">
      <c r="A904" s="1631"/>
      <c r="B904" s="1653"/>
      <c r="C904" s="2424" t="s">
        <v>904</v>
      </c>
      <c r="D904" s="2425" t="s">
        <v>866</v>
      </c>
      <c r="E904" s="2350">
        <v>67500</v>
      </c>
      <c r="F904" s="2351">
        <v>67500</v>
      </c>
      <c r="G904" s="2445">
        <f>59500+10200</f>
        <v>69700</v>
      </c>
      <c r="H904" s="2353">
        <f t="shared" si="56"/>
        <v>1.0325925925925925</v>
      </c>
      <c r="J904" s="1370" t="s">
        <v>898</v>
      </c>
    </row>
    <row r="905" spans="1:10" s="1622" customFormat="1" ht="17.100000000000001" customHeight="1">
      <c r="A905" s="1631"/>
      <c r="B905" s="1653"/>
      <c r="C905" s="2435" t="s">
        <v>905</v>
      </c>
      <c r="D905" s="2458" t="s">
        <v>866</v>
      </c>
      <c r="E905" s="2459">
        <v>11912</v>
      </c>
      <c r="F905" s="2351">
        <v>11912</v>
      </c>
      <c r="G905" s="2445">
        <f>10500+1800</f>
        <v>12300</v>
      </c>
      <c r="H905" s="2353">
        <f t="shared" si="56"/>
        <v>1.0325721961047682</v>
      </c>
      <c r="J905" s="1370" t="s">
        <v>898</v>
      </c>
    </row>
    <row r="906" spans="1:10" s="1622" customFormat="1" ht="17.100000000000001" customHeight="1">
      <c r="A906" s="1631"/>
      <c r="B906" s="1653"/>
      <c r="C906" s="2361" t="s">
        <v>1009</v>
      </c>
      <c r="D906" s="2380" t="s">
        <v>736</v>
      </c>
      <c r="E906" s="2350">
        <v>51000</v>
      </c>
      <c r="F906" s="2351">
        <v>51000</v>
      </c>
      <c r="G906" s="2445">
        <v>51000</v>
      </c>
      <c r="H906" s="2353">
        <f t="shared" si="56"/>
        <v>1</v>
      </c>
      <c r="J906" s="1370"/>
    </row>
    <row r="907" spans="1:10" s="1622" customFormat="1" ht="17.100000000000001" customHeight="1">
      <c r="A907" s="1631"/>
      <c r="B907" s="1653"/>
      <c r="C907" s="2361" t="s">
        <v>1010</v>
      </c>
      <c r="D907" s="2380" t="s">
        <v>736</v>
      </c>
      <c r="E907" s="2350">
        <v>9000</v>
      </c>
      <c r="F907" s="2351">
        <v>9000</v>
      </c>
      <c r="G907" s="2445">
        <v>9000</v>
      </c>
      <c r="H907" s="2353">
        <f t="shared" si="56"/>
        <v>1</v>
      </c>
      <c r="J907" s="1370"/>
    </row>
    <row r="908" spans="1:10" s="1622" customFormat="1" ht="57.75" hidden="1" customHeight="1">
      <c r="A908" s="1631"/>
      <c r="B908" s="1653"/>
      <c r="C908" s="2460" t="s">
        <v>791</v>
      </c>
      <c r="D908" s="2461" t="s">
        <v>792</v>
      </c>
      <c r="E908" s="2350">
        <v>0</v>
      </c>
      <c r="F908" s="2351"/>
      <c r="G908" s="2457"/>
      <c r="H908" s="2353" t="e">
        <f t="shared" si="56"/>
        <v>#DIV/0!</v>
      </c>
      <c r="J908" s="1370"/>
    </row>
    <row r="909" spans="1:10" s="1622" customFormat="1" ht="17.100000000000001" customHeight="1" thickBot="1">
      <c r="A909" s="1673"/>
      <c r="B909" s="1890"/>
      <c r="C909" s="2462" t="s">
        <v>1011</v>
      </c>
      <c r="D909" s="2463" t="s">
        <v>816</v>
      </c>
      <c r="E909" s="2365">
        <v>119000</v>
      </c>
      <c r="F909" s="1676">
        <v>119000</v>
      </c>
      <c r="G909" s="2464">
        <v>110500</v>
      </c>
      <c r="H909" s="1678">
        <f t="shared" si="56"/>
        <v>0.9285714285714286</v>
      </c>
      <c r="J909" s="1370"/>
    </row>
    <row r="910" spans="1:10" s="1622" customFormat="1" ht="17.100000000000001" customHeight="1">
      <c r="A910" s="1623"/>
      <c r="B910" s="1894"/>
      <c r="C910" s="2465" t="s">
        <v>1012</v>
      </c>
      <c r="D910" s="2466" t="s">
        <v>816</v>
      </c>
      <c r="E910" s="2467">
        <v>21000</v>
      </c>
      <c r="F910" s="2468">
        <v>21000</v>
      </c>
      <c r="G910" s="2469">
        <v>19500</v>
      </c>
      <c r="H910" s="2470">
        <f t="shared" si="56"/>
        <v>0.9285714285714286</v>
      </c>
      <c r="J910" s="1370"/>
    </row>
    <row r="911" spans="1:10" s="1622" customFormat="1" ht="18.75" customHeight="1">
      <c r="A911" s="1631"/>
      <c r="B911" s="1653"/>
      <c r="C911" s="2471" t="s">
        <v>793</v>
      </c>
      <c r="D911" s="2458" t="s">
        <v>740</v>
      </c>
      <c r="E911" s="2350">
        <v>178500</v>
      </c>
      <c r="F911" s="2351">
        <v>178500</v>
      </c>
      <c r="G911" s="2457">
        <v>178500</v>
      </c>
      <c r="H911" s="2353">
        <f t="shared" si="56"/>
        <v>1</v>
      </c>
      <c r="J911" s="1370"/>
    </row>
    <row r="912" spans="1:10" s="1622" customFormat="1" ht="18.75" customHeight="1">
      <c r="A912" s="1631"/>
      <c r="B912" s="1653"/>
      <c r="C912" s="2472" t="s">
        <v>794</v>
      </c>
      <c r="D912" s="2461" t="s">
        <v>740</v>
      </c>
      <c r="E912" s="2350">
        <v>31500</v>
      </c>
      <c r="F912" s="2351">
        <v>31500</v>
      </c>
      <c r="G912" s="2457">
        <v>31500</v>
      </c>
      <c r="H912" s="2353">
        <f t="shared" si="56"/>
        <v>1</v>
      </c>
      <c r="J912" s="1370"/>
    </row>
    <row r="913" spans="1:10" s="1622" customFormat="1" ht="17.100000000000001" customHeight="1">
      <c r="A913" s="1631"/>
      <c r="B913" s="1631"/>
      <c r="C913" s="2449" t="s">
        <v>795</v>
      </c>
      <c r="D913" s="2473" t="s">
        <v>703</v>
      </c>
      <c r="E913" s="2350">
        <v>170000</v>
      </c>
      <c r="F913" s="2351">
        <v>170000</v>
      </c>
      <c r="G913" s="2457">
        <v>192032</v>
      </c>
      <c r="H913" s="2353">
        <f t="shared" si="56"/>
        <v>1.1295999999999999</v>
      </c>
      <c r="J913" s="1370"/>
    </row>
    <row r="914" spans="1:10" s="1622" customFormat="1" ht="17.100000000000001" customHeight="1">
      <c r="A914" s="1653"/>
      <c r="B914" s="1631"/>
      <c r="C914" s="2449" t="s">
        <v>796</v>
      </c>
      <c r="D914" s="2473" t="s">
        <v>703</v>
      </c>
      <c r="E914" s="2350">
        <v>30000</v>
      </c>
      <c r="F914" s="2351">
        <v>30000</v>
      </c>
      <c r="G914" s="2457">
        <v>33888</v>
      </c>
      <c r="H914" s="2353">
        <f t="shared" si="56"/>
        <v>1.1295999999999999</v>
      </c>
      <c r="J914" s="1370"/>
    </row>
    <row r="915" spans="1:10" ht="14.25" customHeight="1">
      <c r="A915" s="1556"/>
      <c r="B915" s="1750"/>
      <c r="C915" s="2366"/>
      <c r="D915" s="2366"/>
      <c r="E915" s="2367"/>
      <c r="F915" s="1909"/>
      <c r="G915" s="2474"/>
      <c r="H915" s="1942"/>
    </row>
    <row r="916" spans="1:10" s="1622" customFormat="1" ht="17.100000000000001" customHeight="1">
      <c r="A916" s="1631"/>
      <c r="B916" s="1653"/>
      <c r="C916" s="4810" t="s">
        <v>744</v>
      </c>
      <c r="D916" s="4810"/>
      <c r="E916" s="2475">
        <f>SUM(E917)</f>
        <v>4332952</v>
      </c>
      <c r="F916" s="2476">
        <f>SUM(F917)</f>
        <v>6926890</v>
      </c>
      <c r="G916" s="2477">
        <f>SUM(G917)</f>
        <v>5106600</v>
      </c>
      <c r="H916" s="2478">
        <f t="shared" ref="H916:H925" si="57">G916/F916</f>
        <v>0.73721395893395159</v>
      </c>
      <c r="J916" s="1370"/>
    </row>
    <row r="917" spans="1:10" s="1622" customFormat="1" ht="17.100000000000001" customHeight="1">
      <c r="A917" s="1631"/>
      <c r="B917" s="1653"/>
      <c r="C917" s="4811" t="s">
        <v>869</v>
      </c>
      <c r="D917" s="4811"/>
      <c r="E917" s="2350">
        <f>SUM(E918:E924)</f>
        <v>4332952</v>
      </c>
      <c r="F917" s="2351">
        <f>SUM(F918:F924)</f>
        <v>6926890</v>
      </c>
      <c r="G917" s="2479">
        <f>SUM(G918:G924)</f>
        <v>5106600</v>
      </c>
      <c r="H917" s="2353">
        <f t="shared" si="57"/>
        <v>0.73721395893395159</v>
      </c>
      <c r="J917" s="1370"/>
    </row>
    <row r="918" spans="1:10" s="1622" customFormat="1" ht="17.25" customHeight="1">
      <c r="A918" s="1631"/>
      <c r="B918" s="1653"/>
      <c r="C918" s="2361" t="s">
        <v>755</v>
      </c>
      <c r="D918" s="2380" t="s">
        <v>747</v>
      </c>
      <c r="E918" s="2350">
        <v>3069952</v>
      </c>
      <c r="F918" s="2351">
        <v>3659189</v>
      </c>
      <c r="G918" s="2480">
        <f>2996000+728300</f>
        <v>3724300</v>
      </c>
      <c r="H918" s="2353">
        <f t="shared" si="57"/>
        <v>1.0177938335516421</v>
      </c>
      <c r="J918" s="1370" t="s">
        <v>989</v>
      </c>
    </row>
    <row r="919" spans="1:10" s="1622" customFormat="1" ht="17.100000000000001" customHeight="1">
      <c r="A919" s="1631"/>
      <c r="B919" s="1653"/>
      <c r="C919" s="2361" t="s">
        <v>855</v>
      </c>
      <c r="D919" s="2380" t="s">
        <v>747</v>
      </c>
      <c r="E919" s="2350">
        <v>0</v>
      </c>
      <c r="F919" s="2351">
        <v>2080545</v>
      </c>
      <c r="G919" s="2480">
        <v>0</v>
      </c>
      <c r="H919" s="2353">
        <f t="shared" si="57"/>
        <v>0</v>
      </c>
      <c r="J919" s="1370"/>
    </row>
    <row r="920" spans="1:10" s="1622" customFormat="1" ht="17.100000000000001" customHeight="1">
      <c r="A920" s="1631"/>
      <c r="B920" s="1653"/>
      <c r="C920" s="2361" t="s">
        <v>856</v>
      </c>
      <c r="D920" s="2380" t="s">
        <v>747</v>
      </c>
      <c r="E920" s="2350">
        <v>0</v>
      </c>
      <c r="F920" s="2351">
        <v>367156</v>
      </c>
      <c r="G920" s="2480">
        <v>0</v>
      </c>
      <c r="H920" s="2353">
        <f t="shared" si="57"/>
        <v>0</v>
      </c>
      <c r="J920" s="1370"/>
    </row>
    <row r="921" spans="1:10" s="1622" customFormat="1" ht="17.100000000000001" customHeight="1">
      <c r="A921" s="1631"/>
      <c r="B921" s="4594"/>
      <c r="C921" s="2361" t="s">
        <v>746</v>
      </c>
      <c r="D921" s="2380" t="s">
        <v>801</v>
      </c>
      <c r="E921" s="2350">
        <v>1213000</v>
      </c>
      <c r="F921" s="2351">
        <v>770000</v>
      </c>
      <c r="G921" s="2480">
        <f>1200000+36300+100000</f>
        <v>1336300</v>
      </c>
      <c r="H921" s="2353">
        <f t="shared" si="57"/>
        <v>1.7354545454545454</v>
      </c>
      <c r="J921" s="1370" t="s">
        <v>988</v>
      </c>
    </row>
    <row r="922" spans="1:10" s="1622" customFormat="1" ht="17.100000000000001" customHeight="1">
      <c r="A922" s="1631"/>
      <c r="B922" s="4594"/>
      <c r="C922" s="2361" t="s">
        <v>838</v>
      </c>
      <c r="D922" s="2380" t="s">
        <v>801</v>
      </c>
      <c r="E922" s="2350"/>
      <c r="F922" s="2351">
        <v>0</v>
      </c>
      <c r="G922" s="2480">
        <v>38769</v>
      </c>
      <c r="H922" s="2353"/>
      <c r="J922" s="1370" t="s">
        <v>826</v>
      </c>
    </row>
    <row r="923" spans="1:10" s="1622" customFormat="1" ht="17.100000000000001" customHeight="1">
      <c r="A923" s="1631"/>
      <c r="B923" s="4594"/>
      <c r="C923" s="2361" t="s">
        <v>871</v>
      </c>
      <c r="D923" s="2380" t="s">
        <v>801</v>
      </c>
      <c r="E923" s="2350">
        <v>42500</v>
      </c>
      <c r="F923" s="2351">
        <v>42500</v>
      </c>
      <c r="G923" s="2480">
        <v>0</v>
      </c>
      <c r="H923" s="2353">
        <f t="shared" si="57"/>
        <v>0</v>
      </c>
      <c r="J923" s="1370"/>
    </row>
    <row r="924" spans="1:10" s="1622" customFormat="1" ht="17.100000000000001" customHeight="1">
      <c r="A924" s="1631"/>
      <c r="B924" s="4594"/>
      <c r="C924" s="2481" t="s">
        <v>853</v>
      </c>
      <c r="D924" s="2482" t="s">
        <v>801</v>
      </c>
      <c r="E924" s="2350">
        <v>7500</v>
      </c>
      <c r="F924" s="2351">
        <v>7500</v>
      </c>
      <c r="G924" s="2480">
        <v>7231</v>
      </c>
      <c r="H924" s="2353">
        <f t="shared" si="57"/>
        <v>0.96413333333333329</v>
      </c>
      <c r="J924" s="1370" t="s">
        <v>826</v>
      </c>
    </row>
    <row r="925" spans="1:10" s="1622" customFormat="1" ht="59.25" hidden="1" customHeight="1">
      <c r="A925" s="1631"/>
      <c r="B925" s="4594"/>
      <c r="C925" s="2483" t="s">
        <v>877</v>
      </c>
      <c r="D925" s="2484" t="s">
        <v>757</v>
      </c>
      <c r="E925" s="2350">
        <v>0</v>
      </c>
      <c r="F925" s="2351"/>
      <c r="G925" s="2480"/>
      <c r="H925" s="2353" t="e">
        <f t="shared" si="57"/>
        <v>#DIV/0!</v>
      </c>
      <c r="J925" s="1370"/>
    </row>
    <row r="926" spans="1:10" s="1622" customFormat="1" ht="15.75" customHeight="1">
      <c r="A926" s="1631"/>
      <c r="B926" s="4738"/>
      <c r="C926" s="2485"/>
      <c r="D926" s="2486"/>
      <c r="E926" s="2487"/>
      <c r="F926" s="2351"/>
      <c r="G926" s="2480"/>
      <c r="H926" s="2353"/>
      <c r="J926" s="1370"/>
    </row>
    <row r="927" spans="1:10" s="1622" customFormat="1" ht="20.25" customHeight="1">
      <c r="A927" s="1631"/>
      <c r="B927" s="4738"/>
      <c r="C927" s="4779" t="s">
        <v>758</v>
      </c>
      <c r="D927" s="4801"/>
      <c r="E927" s="2488">
        <f>SUM(E928:E935)</f>
        <v>421952</v>
      </c>
      <c r="F927" s="1863">
        <f>SUM(F928:F935)</f>
        <v>3171397</v>
      </c>
      <c r="G927" s="2489">
        <f>SUM(G928:G935)</f>
        <v>46000</v>
      </c>
      <c r="H927" s="2357">
        <f t="shared" ref="H927:H947" si="58">G927/F927</f>
        <v>1.4504648897630918E-2</v>
      </c>
      <c r="J927" s="1370"/>
    </row>
    <row r="928" spans="1:10" s="1622" customFormat="1" ht="17.100000000000001" customHeight="1">
      <c r="A928" s="1631"/>
      <c r="B928" s="4738"/>
      <c r="C928" s="2361" t="s">
        <v>755</v>
      </c>
      <c r="D928" s="2380" t="s">
        <v>747</v>
      </c>
      <c r="E928" s="2350">
        <v>371952</v>
      </c>
      <c r="F928" s="2351">
        <v>673696</v>
      </c>
      <c r="G928" s="2490">
        <v>0</v>
      </c>
      <c r="H928" s="2353">
        <f t="shared" si="58"/>
        <v>0</v>
      </c>
      <c r="J928" s="1370"/>
    </row>
    <row r="929" spans="1:10" s="1622" customFormat="1" ht="17.100000000000001" hidden="1" customHeight="1">
      <c r="A929" s="1631"/>
      <c r="B929" s="4738"/>
      <c r="C929" s="2361" t="s">
        <v>855</v>
      </c>
      <c r="D929" s="2380" t="s">
        <v>747</v>
      </c>
      <c r="E929" s="2350">
        <v>0</v>
      </c>
      <c r="F929" s="2351"/>
      <c r="G929" s="2490"/>
      <c r="H929" s="2353" t="e">
        <f t="shared" si="58"/>
        <v>#DIV/0!</v>
      </c>
      <c r="J929" s="1370"/>
    </row>
    <row r="930" spans="1:10" s="1622" customFormat="1" ht="17.100000000000001" hidden="1" customHeight="1">
      <c r="A930" s="1631"/>
      <c r="B930" s="4738"/>
      <c r="C930" s="2361" t="s">
        <v>856</v>
      </c>
      <c r="D930" s="2380" t="s">
        <v>747</v>
      </c>
      <c r="E930" s="2350">
        <v>0</v>
      </c>
      <c r="F930" s="2351"/>
      <c r="G930" s="2490"/>
      <c r="H930" s="2353" t="e">
        <f t="shared" si="58"/>
        <v>#DIV/0!</v>
      </c>
      <c r="J930" s="1370"/>
    </row>
    <row r="931" spans="1:10" s="1622" customFormat="1" ht="17.100000000000001" customHeight="1">
      <c r="A931" s="1631"/>
      <c r="B931" s="4738"/>
      <c r="C931" s="2491" t="s">
        <v>855</v>
      </c>
      <c r="D931" s="2380" t="s">
        <v>747</v>
      </c>
      <c r="E931" s="2350">
        <v>0</v>
      </c>
      <c r="F931" s="2351">
        <v>2080545</v>
      </c>
      <c r="G931" s="2490">
        <v>0</v>
      </c>
      <c r="H931" s="2353">
        <f t="shared" si="58"/>
        <v>0</v>
      </c>
      <c r="J931" s="1370"/>
    </row>
    <row r="932" spans="1:10" s="1622" customFormat="1" ht="17.100000000000001" customHeight="1">
      <c r="A932" s="1631"/>
      <c r="B932" s="4738"/>
      <c r="C932" s="2491" t="s">
        <v>856</v>
      </c>
      <c r="D932" s="2380" t="s">
        <v>747</v>
      </c>
      <c r="E932" s="2350">
        <v>0</v>
      </c>
      <c r="F932" s="2351">
        <v>367156</v>
      </c>
      <c r="G932" s="2490">
        <v>0</v>
      </c>
      <c r="H932" s="2353">
        <f t="shared" si="58"/>
        <v>0</v>
      </c>
      <c r="J932" s="1370"/>
    </row>
    <row r="933" spans="1:10" s="1622" customFormat="1" ht="17.100000000000001" customHeight="1">
      <c r="A933" s="1631"/>
      <c r="B933" s="4738"/>
      <c r="C933" s="2491" t="s">
        <v>838</v>
      </c>
      <c r="D933" s="2492" t="s">
        <v>801</v>
      </c>
      <c r="E933" s="2350"/>
      <c r="F933" s="2351">
        <v>0</v>
      </c>
      <c r="G933" s="2490">
        <v>38769</v>
      </c>
      <c r="H933" s="2353"/>
      <c r="J933" s="1370" t="s">
        <v>826</v>
      </c>
    </row>
    <row r="934" spans="1:10" s="1622" customFormat="1" ht="17.100000000000001" customHeight="1">
      <c r="A934" s="1631"/>
      <c r="B934" s="4738"/>
      <c r="C934" s="2491" t="s">
        <v>871</v>
      </c>
      <c r="D934" s="2492" t="s">
        <v>801</v>
      </c>
      <c r="E934" s="2350">
        <v>42500</v>
      </c>
      <c r="F934" s="2351">
        <v>42500</v>
      </c>
      <c r="G934" s="2490">
        <v>0</v>
      </c>
      <c r="H934" s="2353">
        <f t="shared" si="58"/>
        <v>0</v>
      </c>
      <c r="J934" s="1370"/>
    </row>
    <row r="935" spans="1:10" s="1622" customFormat="1" ht="17.100000000000001" customHeight="1" thickBot="1">
      <c r="A935" s="1631"/>
      <c r="B935" s="4738"/>
      <c r="C935" s="2481" t="s">
        <v>853</v>
      </c>
      <c r="D935" s="2482" t="s">
        <v>801</v>
      </c>
      <c r="E935" s="2350">
        <v>7500</v>
      </c>
      <c r="F935" s="2351">
        <v>7500</v>
      </c>
      <c r="G935" s="2490">
        <v>7231</v>
      </c>
      <c r="H935" s="2353">
        <f t="shared" si="58"/>
        <v>0.96413333333333329</v>
      </c>
      <c r="J935" s="1370" t="s">
        <v>826</v>
      </c>
    </row>
    <row r="936" spans="1:10" ht="54" hidden="1" customHeight="1" thickBot="1">
      <c r="A936" s="1556"/>
      <c r="B936" s="2493"/>
      <c r="C936" s="2494" t="s">
        <v>877</v>
      </c>
      <c r="D936" s="1827" t="s">
        <v>757</v>
      </c>
      <c r="E936" s="2373">
        <v>0</v>
      </c>
      <c r="F936" s="2314"/>
      <c r="G936" s="2495"/>
      <c r="H936" s="2316" t="e">
        <f t="shared" si="58"/>
        <v>#DIV/0!</v>
      </c>
    </row>
    <row r="937" spans="1:10" ht="17.100000000000001" hidden="1" customHeight="1" thickBot="1">
      <c r="A937" s="1556"/>
      <c r="B937" s="2496" t="s">
        <v>1013</v>
      </c>
      <c r="C937" s="2497"/>
      <c r="D937" s="2498" t="s">
        <v>1014</v>
      </c>
      <c r="E937" s="2499">
        <v>0</v>
      </c>
      <c r="F937" s="2314"/>
      <c r="G937" s="2495"/>
      <c r="H937" s="2316" t="e">
        <f t="shared" si="58"/>
        <v>#DIV/0!</v>
      </c>
    </row>
    <row r="938" spans="1:10" ht="17.100000000000001" hidden="1" customHeight="1" thickBot="1">
      <c r="A938" s="1556"/>
      <c r="B938" s="2493"/>
      <c r="C938" s="4802" t="s">
        <v>987</v>
      </c>
      <c r="D938" s="4802"/>
      <c r="E938" s="2500">
        <v>0</v>
      </c>
      <c r="F938" s="2314"/>
      <c r="G938" s="2495"/>
      <c r="H938" s="2316" t="e">
        <f t="shared" si="58"/>
        <v>#DIV/0!</v>
      </c>
    </row>
    <row r="939" spans="1:10" ht="17.100000000000001" hidden="1" customHeight="1" thickBot="1">
      <c r="A939" s="1556"/>
      <c r="B939" s="2493"/>
      <c r="C939" s="4803" t="s">
        <v>797</v>
      </c>
      <c r="D939" s="4803"/>
      <c r="E939" s="2501">
        <v>0</v>
      </c>
      <c r="F939" s="2314"/>
      <c r="G939" s="2495"/>
      <c r="H939" s="2316" t="e">
        <f t="shared" si="58"/>
        <v>#DIV/0!</v>
      </c>
    </row>
    <row r="940" spans="1:10" ht="39" hidden="1" customHeight="1" thickBot="1">
      <c r="A940" s="1556"/>
      <c r="B940" s="2493"/>
      <c r="C940" s="2502" t="s">
        <v>353</v>
      </c>
      <c r="D940" s="2503" t="s">
        <v>932</v>
      </c>
      <c r="E940" s="2504">
        <v>0</v>
      </c>
      <c r="F940" s="2314"/>
      <c r="G940" s="2495"/>
      <c r="H940" s="2505" t="e">
        <f t="shared" si="58"/>
        <v>#DIV/0!</v>
      </c>
    </row>
    <row r="941" spans="1:10" s="1622" customFormat="1" ht="17.100000000000001" customHeight="1" thickBot="1">
      <c r="A941" s="1631"/>
      <c r="B941" s="1624" t="s">
        <v>1015</v>
      </c>
      <c r="C941" s="1625"/>
      <c r="D941" s="1626" t="s">
        <v>450</v>
      </c>
      <c r="E941" s="1627">
        <f t="shared" ref="E941:G942" si="59">SUM(E942)</f>
        <v>20000</v>
      </c>
      <c r="F941" s="1628">
        <f t="shared" si="59"/>
        <v>20000</v>
      </c>
      <c r="G941" s="1629">
        <f t="shared" si="59"/>
        <v>20000</v>
      </c>
      <c r="H941" s="1630">
        <f t="shared" si="58"/>
        <v>1</v>
      </c>
      <c r="J941" s="1370"/>
    </row>
    <row r="942" spans="1:10" s="1622" customFormat="1" ht="17.100000000000001" customHeight="1">
      <c r="A942" s="1631"/>
      <c r="B942" s="4416"/>
      <c r="C942" s="4731" t="s">
        <v>987</v>
      </c>
      <c r="D942" s="4731"/>
      <c r="E942" s="2506">
        <f t="shared" si="59"/>
        <v>20000</v>
      </c>
      <c r="F942" s="1634">
        <f t="shared" si="59"/>
        <v>20000</v>
      </c>
      <c r="G942" s="2507">
        <f t="shared" si="59"/>
        <v>20000</v>
      </c>
      <c r="H942" s="1636">
        <f t="shared" si="58"/>
        <v>1</v>
      </c>
      <c r="J942" s="1370" t="s">
        <v>898</v>
      </c>
    </row>
    <row r="943" spans="1:10" s="1622" customFormat="1" ht="17.100000000000001" customHeight="1">
      <c r="A943" s="1631"/>
      <c r="B943" s="4416"/>
      <c r="C943" s="4795" t="s">
        <v>689</v>
      </c>
      <c r="D943" s="4795"/>
      <c r="E943" s="2350">
        <f>SUM(E944,E949)</f>
        <v>20000</v>
      </c>
      <c r="F943" s="2351">
        <f>SUM(F944,F949)</f>
        <v>20000</v>
      </c>
      <c r="G943" s="2479">
        <f>SUM(G944,G949)</f>
        <v>20000</v>
      </c>
      <c r="H943" s="2353">
        <f t="shared" si="58"/>
        <v>1</v>
      </c>
      <c r="J943" s="1370"/>
    </row>
    <row r="944" spans="1:10" s="1622" customFormat="1" ht="17.100000000000001" customHeight="1">
      <c r="A944" s="1631"/>
      <c r="B944" s="4416"/>
      <c r="C944" s="4796" t="s">
        <v>690</v>
      </c>
      <c r="D944" s="4796"/>
      <c r="E944" s="2354">
        <f>SUM(E945:E947)</f>
        <v>11270</v>
      </c>
      <c r="F944" s="2355">
        <f>SUM(F945:F947)</f>
        <v>11270</v>
      </c>
      <c r="G944" s="2508">
        <f>SUM(G945:G947)</f>
        <v>11270</v>
      </c>
      <c r="H944" s="2357">
        <f t="shared" si="58"/>
        <v>1</v>
      </c>
      <c r="J944" s="1370"/>
    </row>
    <row r="945" spans="1:10" s="1622" customFormat="1" ht="17.100000000000001" customHeight="1">
      <c r="A945" s="1631"/>
      <c r="B945" s="4416"/>
      <c r="C945" s="2361" t="s">
        <v>696</v>
      </c>
      <c r="D945" s="2380" t="s">
        <v>697</v>
      </c>
      <c r="E945" s="2350">
        <v>700</v>
      </c>
      <c r="F945" s="2351">
        <v>700</v>
      </c>
      <c r="G945" s="2480">
        <v>700</v>
      </c>
      <c r="H945" s="2353">
        <f t="shared" si="58"/>
        <v>1</v>
      </c>
      <c r="J945" s="1370"/>
    </row>
    <row r="946" spans="1:10" s="1622" customFormat="1" ht="16.5" customHeight="1">
      <c r="A946" s="1631"/>
      <c r="B946" s="4416"/>
      <c r="C946" s="2361" t="s">
        <v>698</v>
      </c>
      <c r="D946" s="2380" t="s">
        <v>699</v>
      </c>
      <c r="E946" s="2350">
        <v>140</v>
      </c>
      <c r="F946" s="2351">
        <v>140</v>
      </c>
      <c r="G946" s="2480">
        <v>140</v>
      </c>
      <c r="H946" s="2353">
        <f t="shared" si="58"/>
        <v>1</v>
      </c>
      <c r="J946" s="1370"/>
    </row>
    <row r="947" spans="1:10" s="1622" customFormat="1" ht="17.100000000000001" customHeight="1">
      <c r="A947" s="1631"/>
      <c r="B947" s="1653"/>
      <c r="C947" s="2361" t="s">
        <v>700</v>
      </c>
      <c r="D947" s="2380" t="s">
        <v>701</v>
      </c>
      <c r="E947" s="2350">
        <v>10430</v>
      </c>
      <c r="F947" s="2351">
        <v>10430</v>
      </c>
      <c r="G947" s="2480">
        <v>10430</v>
      </c>
      <c r="H947" s="2353">
        <f t="shared" si="58"/>
        <v>1</v>
      </c>
      <c r="J947" s="1370"/>
    </row>
    <row r="948" spans="1:10" s="1622" customFormat="1" ht="13.5" customHeight="1">
      <c r="A948" s="1631"/>
      <c r="B948" s="1653"/>
      <c r="C948" s="2485"/>
      <c r="D948" s="2383"/>
      <c r="E948" s="2485"/>
      <c r="F948" s="2351"/>
      <c r="G948" s="2480"/>
      <c r="H948" s="2353"/>
      <c r="J948" s="1370"/>
    </row>
    <row r="949" spans="1:10" s="1622" customFormat="1" ht="17.100000000000001" customHeight="1">
      <c r="A949" s="1631"/>
      <c r="B949" s="1653"/>
      <c r="C949" s="4779" t="s">
        <v>704</v>
      </c>
      <c r="D949" s="4779"/>
      <c r="E949" s="2488">
        <f>SUM(E950:E951)</f>
        <v>8730</v>
      </c>
      <c r="F949" s="1863">
        <f>SUM(F950:F951)</f>
        <v>8730</v>
      </c>
      <c r="G949" s="2489">
        <f>SUM(G950:G951)</f>
        <v>8730</v>
      </c>
      <c r="H949" s="2357">
        <f t="shared" ref="H949:H958" si="60">G949/F949</f>
        <v>1</v>
      </c>
      <c r="J949" s="1370"/>
    </row>
    <row r="950" spans="1:10" s="1622" customFormat="1" ht="17.100000000000001" customHeight="1">
      <c r="A950" s="1631"/>
      <c r="B950" s="1653"/>
      <c r="C950" s="2472" t="s">
        <v>707</v>
      </c>
      <c r="D950" s="2461" t="s">
        <v>708</v>
      </c>
      <c r="E950" s="2509">
        <v>3500</v>
      </c>
      <c r="F950" s="2351">
        <v>3500</v>
      </c>
      <c r="G950" s="2480">
        <v>3500</v>
      </c>
      <c r="H950" s="2353">
        <f t="shared" si="60"/>
        <v>1</v>
      </c>
      <c r="J950" s="1370"/>
    </row>
    <row r="951" spans="1:10" s="1622" customFormat="1" ht="17.100000000000001" customHeight="1" thickBot="1">
      <c r="A951" s="1653"/>
      <c r="B951" s="1890"/>
      <c r="C951" s="2510" t="s">
        <v>717</v>
      </c>
      <c r="D951" s="2511" t="s">
        <v>718</v>
      </c>
      <c r="E951" s="2365">
        <v>5230</v>
      </c>
      <c r="F951" s="1676">
        <v>5230</v>
      </c>
      <c r="G951" s="2512">
        <v>5230</v>
      </c>
      <c r="H951" s="1678">
        <f t="shared" si="60"/>
        <v>1</v>
      </c>
      <c r="J951" s="1370"/>
    </row>
    <row r="952" spans="1:10" s="1622" customFormat="1" ht="17.100000000000001" customHeight="1" thickBot="1">
      <c r="A952" s="1631"/>
      <c r="B952" s="2513" t="s">
        <v>1016</v>
      </c>
      <c r="C952" s="2514"/>
      <c r="D952" s="2515" t="s">
        <v>451</v>
      </c>
      <c r="E952" s="2516">
        <f>SUM(E953,E1012)</f>
        <v>21239207</v>
      </c>
      <c r="F952" s="2517">
        <f>SUM(F953,F1012)</f>
        <v>26134136</v>
      </c>
      <c r="G952" s="2518">
        <f>SUM(G953,G1012)</f>
        <v>20714946</v>
      </c>
      <c r="H952" s="2519">
        <f t="shared" si="60"/>
        <v>0.79263940464685723</v>
      </c>
      <c r="J952" s="1370"/>
    </row>
    <row r="953" spans="1:10" s="1622" customFormat="1" ht="17.100000000000001" customHeight="1">
      <c r="A953" s="1631"/>
      <c r="B953" s="2520"/>
      <c r="C953" s="4731" t="s">
        <v>688</v>
      </c>
      <c r="D953" s="4731"/>
      <c r="E953" s="2506">
        <f>SUM(E954,E970,E974)</f>
        <v>20804438</v>
      </c>
      <c r="F953" s="1634">
        <f>SUM(F954,F970,F974)</f>
        <v>25864284</v>
      </c>
      <c r="G953" s="2507">
        <f>SUM(G954,G970,G974)</f>
        <v>20672946</v>
      </c>
      <c r="H953" s="1636">
        <f t="shared" si="60"/>
        <v>0.7992854547993673</v>
      </c>
      <c r="J953" s="1370"/>
    </row>
    <row r="954" spans="1:10" s="1622" customFormat="1" ht="17.100000000000001" customHeight="1">
      <c r="A954" s="1631"/>
      <c r="B954" s="2520"/>
      <c r="C954" s="4795" t="s">
        <v>689</v>
      </c>
      <c r="D954" s="4795"/>
      <c r="E954" s="2350">
        <f>SUM(E955,E960)</f>
        <v>6177218</v>
      </c>
      <c r="F954" s="2351">
        <f>SUM(F955,F960)</f>
        <v>6506999</v>
      </c>
      <c r="G954" s="2479">
        <f>SUM(G955,G960)</f>
        <v>16372946</v>
      </c>
      <c r="H954" s="2353">
        <f t="shared" si="60"/>
        <v>2.5162053966813271</v>
      </c>
      <c r="J954" s="1370"/>
    </row>
    <row r="955" spans="1:10" s="1622" customFormat="1" ht="17.100000000000001" customHeight="1">
      <c r="A955" s="1631"/>
      <c r="B955" s="2520"/>
      <c r="C955" s="4796" t="s">
        <v>690</v>
      </c>
      <c r="D955" s="4796"/>
      <c r="E955" s="2354">
        <f>SUM(E956:E958)</f>
        <v>66400</v>
      </c>
      <c r="F955" s="2355">
        <f>SUM(F956:F958)</f>
        <v>66400</v>
      </c>
      <c r="G955" s="2508">
        <f>SUM(G956:G958)</f>
        <v>76360</v>
      </c>
      <c r="H955" s="2357">
        <f t="shared" si="60"/>
        <v>1.1499999999999999</v>
      </c>
      <c r="J955" s="1370"/>
    </row>
    <row r="956" spans="1:10" s="1622" customFormat="1" ht="17.100000000000001" customHeight="1">
      <c r="A956" s="1631"/>
      <c r="B956" s="2520"/>
      <c r="C956" s="2361" t="s">
        <v>696</v>
      </c>
      <c r="D956" s="2380" t="s">
        <v>697</v>
      </c>
      <c r="E956" s="2350">
        <v>600</v>
      </c>
      <c r="F956" s="2351">
        <v>600</v>
      </c>
      <c r="G956" s="2480">
        <v>600</v>
      </c>
      <c r="H956" s="2353">
        <f t="shared" si="60"/>
        <v>1</v>
      </c>
      <c r="J956" s="1370" t="s">
        <v>1017</v>
      </c>
    </row>
    <row r="957" spans="1:10" s="1622" customFormat="1" ht="16.5" customHeight="1">
      <c r="A957" s="1631"/>
      <c r="B957" s="2520"/>
      <c r="C957" s="2361" t="s">
        <v>698</v>
      </c>
      <c r="D957" s="2380" t="s">
        <v>699</v>
      </c>
      <c r="E957" s="2350">
        <v>300</v>
      </c>
      <c r="F957" s="2351">
        <v>300</v>
      </c>
      <c r="G957" s="2480">
        <v>300</v>
      </c>
      <c r="H957" s="2353">
        <f t="shared" si="60"/>
        <v>1</v>
      </c>
      <c r="J957" s="1370" t="s">
        <v>1017</v>
      </c>
    </row>
    <row r="958" spans="1:10" s="1622" customFormat="1" ht="17.100000000000001" customHeight="1">
      <c r="A958" s="1631"/>
      <c r="B958" s="2520"/>
      <c r="C958" s="2361" t="s">
        <v>700</v>
      </c>
      <c r="D958" s="2380" t="s">
        <v>701</v>
      </c>
      <c r="E958" s="2350">
        <v>65500</v>
      </c>
      <c r="F958" s="2351">
        <v>65500</v>
      </c>
      <c r="G958" s="2480">
        <f>17960+57500</f>
        <v>75460</v>
      </c>
      <c r="H958" s="2353">
        <f t="shared" si="60"/>
        <v>1.1520610687022901</v>
      </c>
      <c r="J958" s="1370" t="s">
        <v>1018</v>
      </c>
    </row>
    <row r="959" spans="1:10" s="1622" customFormat="1" ht="15" customHeight="1">
      <c r="A959" s="1653"/>
      <c r="B959" s="2520"/>
      <c r="C959" s="2485"/>
      <c r="D959" s="2521"/>
      <c r="E959" s="2485"/>
      <c r="F959" s="2351"/>
      <c r="G959" s="2480"/>
      <c r="H959" s="2353"/>
      <c r="J959" s="1370"/>
    </row>
    <row r="960" spans="1:10" s="1622" customFormat="1" ht="17.100000000000001" customHeight="1">
      <c r="A960" s="2522"/>
      <c r="B960" s="1637"/>
      <c r="C960" s="4797" t="s">
        <v>704</v>
      </c>
      <c r="D960" s="4798"/>
      <c r="E960" s="2488">
        <f>SUM(E961:E967)</f>
        <v>6110818</v>
      </c>
      <c r="F960" s="1863">
        <f>SUM(F961:F968)</f>
        <v>6440599</v>
      </c>
      <c r="G960" s="1863">
        <f>SUM(G961:G968)</f>
        <v>16296586</v>
      </c>
      <c r="H960" s="2523">
        <f t="shared" ref="H960:H968" si="61">G960/F960</f>
        <v>2.5302904279555363</v>
      </c>
      <c r="J960" s="1370"/>
    </row>
    <row r="961" spans="1:10" s="1622" customFormat="1" ht="17.100000000000001" customHeight="1">
      <c r="A961" s="2522"/>
      <c r="B961" s="1637"/>
      <c r="C961" s="2524" t="s">
        <v>810</v>
      </c>
      <c r="D961" s="2525" t="s">
        <v>777</v>
      </c>
      <c r="E961" s="2350">
        <v>91643</v>
      </c>
      <c r="F961" s="2351">
        <v>111384</v>
      </c>
      <c r="G961" s="2480">
        <f>5923+30000+61000</f>
        <v>96923</v>
      </c>
      <c r="H961" s="2353">
        <f t="shared" si="61"/>
        <v>0.87016986281692166</v>
      </c>
      <c r="J961" s="1370" t="s">
        <v>1019</v>
      </c>
    </row>
    <row r="962" spans="1:10" s="1622" customFormat="1" ht="17.100000000000001" customHeight="1">
      <c r="A962" s="2522"/>
      <c r="B962" s="1637"/>
      <c r="C962" s="2526" t="s">
        <v>707</v>
      </c>
      <c r="D962" s="2527" t="s">
        <v>708</v>
      </c>
      <c r="E962" s="2350">
        <v>480261</v>
      </c>
      <c r="F962" s="2351">
        <v>967961</v>
      </c>
      <c r="G962" s="2480">
        <f>57179+122000+10000+29701+414195</f>
        <v>633075</v>
      </c>
      <c r="H962" s="2353">
        <f t="shared" si="61"/>
        <v>0.6540294495336072</v>
      </c>
      <c r="J962" s="1370" t="s">
        <v>1020</v>
      </c>
    </row>
    <row r="963" spans="1:10" s="1622" customFormat="1" ht="17.100000000000001" customHeight="1">
      <c r="A963" s="1671"/>
      <c r="B963" s="1637"/>
      <c r="C963" s="2528" t="s">
        <v>713</v>
      </c>
      <c r="D963" s="2529" t="s">
        <v>714</v>
      </c>
      <c r="E963" s="2350">
        <v>25000</v>
      </c>
      <c r="F963" s="2351">
        <v>25000</v>
      </c>
      <c r="G963" s="2480">
        <v>25000</v>
      </c>
      <c r="H963" s="2353">
        <f t="shared" si="61"/>
        <v>1</v>
      </c>
      <c r="J963" s="1370" t="s">
        <v>898</v>
      </c>
    </row>
    <row r="964" spans="1:10" s="1622" customFormat="1" ht="17.100000000000001" customHeight="1">
      <c r="A964" s="2522"/>
      <c r="B964" s="1637"/>
      <c r="C964" s="2526" t="s">
        <v>717</v>
      </c>
      <c r="D964" s="2530" t="s">
        <v>718</v>
      </c>
      <c r="E964" s="2459">
        <v>5418914</v>
      </c>
      <c r="F964" s="2351">
        <v>5222134</v>
      </c>
      <c r="G964" s="2480">
        <f>35535+560923+110000+178000+13877130+200000</f>
        <v>14961588</v>
      </c>
      <c r="H964" s="2353">
        <f t="shared" si="61"/>
        <v>2.8650333369461602</v>
      </c>
      <c r="J964" s="1370" t="s">
        <v>1020</v>
      </c>
    </row>
    <row r="965" spans="1:10" s="1622" customFormat="1" ht="17.25" customHeight="1">
      <c r="A965" s="2522"/>
      <c r="B965" s="1637"/>
      <c r="C965" s="2381" t="s">
        <v>900</v>
      </c>
      <c r="D965" s="2527" t="s">
        <v>901</v>
      </c>
      <c r="E965" s="2350">
        <v>25000</v>
      </c>
      <c r="F965" s="2351">
        <v>25000</v>
      </c>
      <c r="G965" s="2480">
        <v>30000</v>
      </c>
      <c r="H965" s="2353">
        <f t="shared" si="61"/>
        <v>1.2</v>
      </c>
      <c r="J965" s="1370" t="s">
        <v>1017</v>
      </c>
    </row>
    <row r="966" spans="1:10" s="1622" customFormat="1" ht="17.100000000000001" customHeight="1">
      <c r="A966" s="2522"/>
      <c r="B966" s="1637"/>
      <c r="C966" s="2526" t="s">
        <v>721</v>
      </c>
      <c r="D966" s="2530" t="s">
        <v>722</v>
      </c>
      <c r="E966" s="2350">
        <v>50000</v>
      </c>
      <c r="F966" s="2351">
        <v>67650</v>
      </c>
      <c r="G966" s="2480">
        <v>500000</v>
      </c>
      <c r="H966" s="2353">
        <f t="shared" si="61"/>
        <v>7.390983000739098</v>
      </c>
      <c r="J966" s="1370" t="s">
        <v>898</v>
      </c>
    </row>
    <row r="967" spans="1:10" s="1622" customFormat="1" ht="17.100000000000001" customHeight="1">
      <c r="A967" s="2522"/>
      <c r="B967" s="1637"/>
      <c r="C967" s="2531" t="s">
        <v>865</v>
      </c>
      <c r="D967" s="2532" t="s">
        <v>866</v>
      </c>
      <c r="E967" s="2350">
        <v>20000</v>
      </c>
      <c r="F967" s="2351">
        <v>20000</v>
      </c>
      <c r="G967" s="2480">
        <v>50000</v>
      </c>
      <c r="H967" s="2353">
        <f t="shared" si="61"/>
        <v>2.5</v>
      </c>
      <c r="J967" s="1370" t="s">
        <v>940</v>
      </c>
    </row>
    <row r="968" spans="1:10" s="1622" customFormat="1" ht="17.100000000000001" customHeight="1">
      <c r="A968" s="2522"/>
      <c r="B968" s="1637"/>
      <c r="C968" s="2533" t="s">
        <v>727</v>
      </c>
      <c r="D968" s="2534" t="s">
        <v>728</v>
      </c>
      <c r="E968" s="2350">
        <v>0</v>
      </c>
      <c r="F968" s="2351">
        <v>1470</v>
      </c>
      <c r="G968" s="2480">
        <v>0</v>
      </c>
      <c r="H968" s="2353">
        <f t="shared" si="61"/>
        <v>0</v>
      </c>
      <c r="J968" s="1370"/>
    </row>
    <row r="969" spans="1:10" s="1622" customFormat="1" ht="17.100000000000001" customHeight="1">
      <c r="A969" s="2522"/>
      <c r="B969" s="1637"/>
      <c r="C969" s="2535"/>
      <c r="D969" s="2535"/>
      <c r="E969" s="2350"/>
      <c r="F969" s="2351"/>
      <c r="G969" s="2480"/>
      <c r="H969" s="2353"/>
      <c r="J969" s="1370"/>
    </row>
    <row r="970" spans="1:10" s="1622" customFormat="1" ht="17.100000000000001" customHeight="1">
      <c r="A970" s="2522"/>
      <c r="B970" s="2536"/>
      <c r="C970" s="4799" t="s">
        <v>797</v>
      </c>
      <c r="D970" s="4800"/>
      <c r="E970" s="2459">
        <f>SUM(E971:E972)</f>
        <v>299800</v>
      </c>
      <c r="F970" s="1859">
        <f>SUM(F971:F972)</f>
        <v>323400</v>
      </c>
      <c r="G970" s="2537">
        <f>SUM(G971:G972)</f>
        <v>300000</v>
      </c>
      <c r="H970" s="2353">
        <f>G970/F970</f>
        <v>0.92764378478664189</v>
      </c>
      <c r="J970" s="1370"/>
    </row>
    <row r="971" spans="1:10" s="1622" customFormat="1" ht="40.5" customHeight="1">
      <c r="A971" s="2522"/>
      <c r="B971" s="2536"/>
      <c r="C971" s="2538" t="s">
        <v>351</v>
      </c>
      <c r="D971" s="2539" t="s">
        <v>907</v>
      </c>
      <c r="E971" s="2350">
        <v>299800</v>
      </c>
      <c r="F971" s="2351">
        <v>299800</v>
      </c>
      <c r="G971" s="2480">
        <v>300000</v>
      </c>
      <c r="H971" s="2353">
        <f>G971/F971</f>
        <v>1.0006671114076051</v>
      </c>
      <c r="J971" s="1370" t="s">
        <v>1017</v>
      </c>
    </row>
    <row r="972" spans="1:10" s="1622" customFormat="1" ht="43.5" customHeight="1">
      <c r="A972" s="2522"/>
      <c r="B972" s="2536"/>
      <c r="C972" s="2450" t="s">
        <v>353</v>
      </c>
      <c r="D972" s="2540" t="s">
        <v>932</v>
      </c>
      <c r="E972" s="2350">
        <v>0</v>
      </c>
      <c r="F972" s="2351">
        <v>23600</v>
      </c>
      <c r="G972" s="2480">
        <v>0</v>
      </c>
      <c r="H972" s="2353">
        <f>G972/F972</f>
        <v>0</v>
      </c>
      <c r="J972" s="1370"/>
    </row>
    <row r="973" spans="1:10" ht="18" customHeight="1">
      <c r="A973" s="2541"/>
      <c r="B973" s="2542"/>
      <c r="C973" s="2542"/>
      <c r="D973" s="2543"/>
      <c r="E973" s="2542"/>
      <c r="F973" s="2314"/>
      <c r="G973" s="2495"/>
      <c r="H973" s="2316"/>
    </row>
    <row r="974" spans="1:10" s="1622" customFormat="1" ht="18" customHeight="1">
      <c r="A974" s="1631"/>
      <c r="B974" s="1866"/>
      <c r="C974" s="4775" t="s">
        <v>761</v>
      </c>
      <c r="D974" s="4776"/>
      <c r="E974" s="2350">
        <f>SUM(E978:E1010)</f>
        <v>14327420</v>
      </c>
      <c r="F974" s="2351">
        <f>SUM(F978:F1010)</f>
        <v>19033885</v>
      </c>
      <c r="G974" s="2479">
        <f>SUM(G978:G1010)</f>
        <v>4000000</v>
      </c>
      <c r="H974" s="2353">
        <f t="shared" ref="H974:H1010" si="62">G974/F974</f>
        <v>0.21015152713174426</v>
      </c>
      <c r="J974" s="1370"/>
    </row>
    <row r="975" spans="1:10" s="1622" customFormat="1" ht="61.5" hidden="1" customHeight="1">
      <c r="A975" s="1631"/>
      <c r="B975" s="1866"/>
      <c r="C975" s="2531" t="s">
        <v>762</v>
      </c>
      <c r="D975" s="2544" t="s">
        <v>763</v>
      </c>
      <c r="E975" s="2350">
        <v>0</v>
      </c>
      <c r="F975" s="2351"/>
      <c r="G975" s="2480"/>
      <c r="H975" s="2353" t="e">
        <f t="shared" si="62"/>
        <v>#DIV/0!</v>
      </c>
      <c r="J975" s="1370"/>
    </row>
    <row r="976" spans="1:10" s="1622" customFormat="1" ht="58.5" hidden="1" customHeight="1">
      <c r="A976" s="1631"/>
      <c r="B976" s="1866"/>
      <c r="C976" s="2531" t="s">
        <v>420</v>
      </c>
      <c r="D976" s="2544" t="s">
        <v>948</v>
      </c>
      <c r="E976" s="2350">
        <v>0</v>
      </c>
      <c r="F976" s="2351"/>
      <c r="G976" s="2480"/>
      <c r="H976" s="2353" t="e">
        <f t="shared" si="62"/>
        <v>#DIV/0!</v>
      </c>
      <c r="J976" s="1370"/>
    </row>
    <row r="977" spans="1:10" s="1622" customFormat="1" ht="18" hidden="1" customHeight="1">
      <c r="A977" s="1631"/>
      <c r="B977" s="1866"/>
      <c r="C977" s="2531" t="s">
        <v>610</v>
      </c>
      <c r="D977" s="2544" t="s">
        <v>825</v>
      </c>
      <c r="E977" s="2350">
        <v>0</v>
      </c>
      <c r="F977" s="2351"/>
      <c r="G977" s="2480"/>
      <c r="H977" s="2353" t="e">
        <f t="shared" si="62"/>
        <v>#DIV/0!</v>
      </c>
      <c r="J977" s="1370"/>
    </row>
    <row r="978" spans="1:10" s="1622" customFormat="1" ht="18" customHeight="1">
      <c r="A978" s="1631"/>
      <c r="B978" s="1866"/>
      <c r="C978" s="2545" t="s">
        <v>827</v>
      </c>
      <c r="D978" s="2546" t="s">
        <v>693</v>
      </c>
      <c r="E978" s="2350">
        <v>480000</v>
      </c>
      <c r="F978" s="2351">
        <v>480000</v>
      </c>
      <c r="G978" s="2480">
        <v>313486</v>
      </c>
      <c r="H978" s="2353">
        <f t="shared" si="62"/>
        <v>0.65309583333333332</v>
      </c>
      <c r="J978" s="1370"/>
    </row>
    <row r="979" spans="1:10" s="1622" customFormat="1" ht="18" customHeight="1">
      <c r="A979" s="1631"/>
      <c r="B979" s="1866"/>
      <c r="C979" s="2547" t="s">
        <v>766</v>
      </c>
      <c r="D979" s="2546" t="s">
        <v>693</v>
      </c>
      <c r="E979" s="2350">
        <v>7105</v>
      </c>
      <c r="F979" s="2351">
        <v>7105</v>
      </c>
      <c r="G979" s="2480">
        <v>0</v>
      </c>
      <c r="H979" s="2353">
        <f t="shared" si="62"/>
        <v>0</v>
      </c>
      <c r="J979" s="1370"/>
    </row>
    <row r="980" spans="1:10" s="1622" customFormat="1" ht="18" customHeight="1">
      <c r="A980" s="1631"/>
      <c r="B980" s="1866"/>
      <c r="C980" s="2547" t="s">
        <v>767</v>
      </c>
      <c r="D980" s="2546" t="s">
        <v>693</v>
      </c>
      <c r="E980" s="2350">
        <v>1254</v>
      </c>
      <c r="F980" s="2351">
        <v>1254</v>
      </c>
      <c r="G980" s="2480">
        <v>0</v>
      </c>
      <c r="H980" s="2353">
        <f t="shared" si="62"/>
        <v>0</v>
      </c>
      <c r="J980" s="1370"/>
    </row>
    <row r="981" spans="1:10" s="1622" customFormat="1" ht="18" customHeight="1">
      <c r="A981" s="1631"/>
      <c r="B981" s="1866"/>
      <c r="C981" s="2547" t="s">
        <v>829</v>
      </c>
      <c r="D981" s="2546" t="s">
        <v>697</v>
      </c>
      <c r="E981" s="2350">
        <v>83424</v>
      </c>
      <c r="F981" s="2351">
        <v>83424</v>
      </c>
      <c r="G981" s="2480">
        <v>56081</v>
      </c>
      <c r="H981" s="2353">
        <f t="shared" si="62"/>
        <v>0.67224060222477944</v>
      </c>
      <c r="J981" s="1370"/>
    </row>
    <row r="982" spans="1:10" s="1622" customFormat="1" ht="18" customHeight="1">
      <c r="A982" s="1631"/>
      <c r="B982" s="1866"/>
      <c r="C982" s="2547" t="s">
        <v>770</v>
      </c>
      <c r="D982" s="2546" t="s">
        <v>697</v>
      </c>
      <c r="E982" s="2350">
        <v>1221</v>
      </c>
      <c r="F982" s="2351">
        <v>1221</v>
      </c>
      <c r="G982" s="2480">
        <v>0</v>
      </c>
      <c r="H982" s="2353">
        <f t="shared" si="62"/>
        <v>0</v>
      </c>
      <c r="J982" s="1370"/>
    </row>
    <row r="983" spans="1:10" s="1622" customFormat="1" ht="18" customHeight="1" thickBot="1">
      <c r="A983" s="1673"/>
      <c r="B983" s="2548"/>
      <c r="C983" s="2549" t="s">
        <v>771</v>
      </c>
      <c r="D983" s="2550" t="s">
        <v>697</v>
      </c>
      <c r="E983" s="2551">
        <v>216</v>
      </c>
      <c r="F983" s="1676">
        <v>216</v>
      </c>
      <c r="G983" s="2552">
        <v>0</v>
      </c>
      <c r="H983" s="1678">
        <f t="shared" si="62"/>
        <v>0</v>
      </c>
      <c r="J983" s="1370"/>
    </row>
    <row r="984" spans="1:10" s="1622" customFormat="1" ht="16.5" customHeight="1">
      <c r="A984" s="1894"/>
      <c r="B984" s="2553"/>
      <c r="C984" s="2554" t="s">
        <v>830</v>
      </c>
      <c r="D984" s="2555" t="s">
        <v>699</v>
      </c>
      <c r="E984" s="2467">
        <v>11760</v>
      </c>
      <c r="F984" s="2468">
        <v>11760</v>
      </c>
      <c r="G984" s="2556">
        <v>7634</v>
      </c>
      <c r="H984" s="2470">
        <f t="shared" si="62"/>
        <v>0.64914965986394557</v>
      </c>
      <c r="J984" s="1370"/>
    </row>
    <row r="985" spans="1:10" s="1622" customFormat="1" ht="16.5" customHeight="1">
      <c r="A985" s="1631"/>
      <c r="B985" s="2520"/>
      <c r="C985" s="1886" t="s">
        <v>772</v>
      </c>
      <c r="D985" s="2557" t="s">
        <v>699</v>
      </c>
      <c r="E985" s="2459">
        <v>173</v>
      </c>
      <c r="F985" s="1859">
        <v>173</v>
      </c>
      <c r="G985" s="2558">
        <v>0</v>
      </c>
      <c r="H985" s="1659">
        <f t="shared" si="62"/>
        <v>0</v>
      </c>
      <c r="J985" s="1370"/>
    </row>
    <row r="986" spans="1:10" s="1622" customFormat="1" ht="16.5" customHeight="1">
      <c r="A986" s="1631"/>
      <c r="B986" s="1866"/>
      <c r="C986" s="2559" t="s">
        <v>773</v>
      </c>
      <c r="D986" s="2560" t="s">
        <v>699</v>
      </c>
      <c r="E986" s="2561">
        <v>31</v>
      </c>
      <c r="F986" s="2562">
        <v>31</v>
      </c>
      <c r="G986" s="2563">
        <v>0</v>
      </c>
      <c r="H986" s="2564">
        <f t="shared" si="62"/>
        <v>0</v>
      </c>
      <c r="J986" s="1370"/>
    </row>
    <row r="987" spans="1:10" s="1622" customFormat="1" ht="18" customHeight="1">
      <c r="A987" s="1631"/>
      <c r="B987" s="1866"/>
      <c r="C987" s="2559" t="s">
        <v>970</v>
      </c>
      <c r="D987" s="2565" t="s">
        <v>701</v>
      </c>
      <c r="E987" s="2561">
        <v>20000</v>
      </c>
      <c r="F987" s="2562">
        <v>20000</v>
      </c>
      <c r="G987" s="2563">
        <v>0</v>
      </c>
      <c r="H987" s="2564">
        <f t="shared" si="62"/>
        <v>0</v>
      </c>
      <c r="J987" s="1370"/>
    </row>
    <row r="988" spans="1:10" s="1622" customFormat="1" ht="18" hidden="1" customHeight="1">
      <c r="A988" s="1631"/>
      <c r="B988" s="1866"/>
      <c r="C988" s="2450" t="s">
        <v>774</v>
      </c>
      <c r="D988" s="2557" t="s">
        <v>701</v>
      </c>
      <c r="E988" s="2561">
        <v>0</v>
      </c>
      <c r="F988" s="2562"/>
      <c r="G988" s="2563"/>
      <c r="H988" s="2564" t="e">
        <f t="shared" si="62"/>
        <v>#DIV/0!</v>
      </c>
      <c r="J988" s="1370"/>
    </row>
    <row r="989" spans="1:10" s="1622" customFormat="1" ht="18" hidden="1" customHeight="1">
      <c r="A989" s="1631"/>
      <c r="B989" s="1866"/>
      <c r="C989" s="2566" t="s">
        <v>775</v>
      </c>
      <c r="D989" s="2560" t="s">
        <v>701</v>
      </c>
      <c r="E989" s="2561">
        <v>0</v>
      </c>
      <c r="F989" s="2562"/>
      <c r="G989" s="2563"/>
      <c r="H989" s="2564" t="e">
        <f t="shared" si="62"/>
        <v>#DIV/0!</v>
      </c>
      <c r="J989" s="1370"/>
    </row>
    <row r="990" spans="1:10" s="1622" customFormat="1" ht="18" customHeight="1">
      <c r="A990" s="1631"/>
      <c r="B990" s="1866"/>
      <c r="C990" s="2559" t="s">
        <v>832</v>
      </c>
      <c r="D990" s="2560" t="s">
        <v>708</v>
      </c>
      <c r="E990" s="2561">
        <v>200000</v>
      </c>
      <c r="F990" s="2562">
        <v>500000</v>
      </c>
      <c r="G990" s="2563">
        <v>75321</v>
      </c>
      <c r="H990" s="2564">
        <f t="shared" si="62"/>
        <v>0.150642</v>
      </c>
      <c r="J990" s="1370"/>
    </row>
    <row r="991" spans="1:10" s="1622" customFormat="1" ht="18" customHeight="1">
      <c r="A991" s="1631"/>
      <c r="B991" s="1866"/>
      <c r="C991" s="2559" t="s">
        <v>779</v>
      </c>
      <c r="D991" s="2560" t="s">
        <v>708</v>
      </c>
      <c r="E991" s="2561">
        <v>10812</v>
      </c>
      <c r="F991" s="2562">
        <v>10812</v>
      </c>
      <c r="G991" s="2563">
        <v>0</v>
      </c>
      <c r="H991" s="2564">
        <f t="shared" si="62"/>
        <v>0</v>
      </c>
      <c r="J991" s="1370"/>
    </row>
    <row r="992" spans="1:10" s="1622" customFormat="1" ht="18" customHeight="1">
      <c r="A992" s="1631"/>
      <c r="B992" s="1866"/>
      <c r="C992" s="2559" t="s">
        <v>780</v>
      </c>
      <c r="D992" s="2560" t="s">
        <v>708</v>
      </c>
      <c r="E992" s="2561">
        <v>1908</v>
      </c>
      <c r="F992" s="2562">
        <v>1908</v>
      </c>
      <c r="G992" s="2563">
        <v>0</v>
      </c>
      <c r="H992" s="2564">
        <f t="shared" si="62"/>
        <v>0</v>
      </c>
      <c r="J992" s="1370"/>
    </row>
    <row r="993" spans="1:10" s="1622" customFormat="1" ht="18" hidden="1" customHeight="1">
      <c r="A993" s="1631"/>
      <c r="B993" s="1866"/>
      <c r="C993" s="2559" t="s">
        <v>717</v>
      </c>
      <c r="D993" s="2560" t="s">
        <v>718</v>
      </c>
      <c r="E993" s="2561">
        <v>0</v>
      </c>
      <c r="F993" s="2562"/>
      <c r="G993" s="2563"/>
      <c r="H993" s="2564" t="e">
        <f t="shared" si="62"/>
        <v>#DIV/0!</v>
      </c>
      <c r="J993" s="1370"/>
    </row>
    <row r="994" spans="1:10" s="1622" customFormat="1" ht="18" customHeight="1">
      <c r="A994" s="1631"/>
      <c r="B994" s="1866"/>
      <c r="C994" s="2559" t="s">
        <v>833</v>
      </c>
      <c r="D994" s="2560" t="s">
        <v>718</v>
      </c>
      <c r="E994" s="2561">
        <v>12745182</v>
      </c>
      <c r="F994" s="2562">
        <v>17151594</v>
      </c>
      <c r="G994" s="2563">
        <v>3231784</v>
      </c>
      <c r="H994" s="2564">
        <f t="shared" si="62"/>
        <v>0.18842470268361064</v>
      </c>
      <c r="J994" s="1370"/>
    </row>
    <row r="995" spans="1:10" s="1622" customFormat="1" ht="18" customHeight="1">
      <c r="A995" s="1631"/>
      <c r="B995" s="1866"/>
      <c r="C995" s="2559" t="s">
        <v>783</v>
      </c>
      <c r="D995" s="2560" t="s">
        <v>718</v>
      </c>
      <c r="E995" s="2561">
        <v>11226</v>
      </c>
      <c r="F995" s="2562">
        <v>11226</v>
      </c>
      <c r="G995" s="2563">
        <v>0</v>
      </c>
      <c r="H995" s="2564">
        <f t="shared" si="62"/>
        <v>0</v>
      </c>
      <c r="J995" s="1370"/>
    </row>
    <row r="996" spans="1:10" s="1622" customFormat="1" ht="18" customHeight="1">
      <c r="A996" s="1631"/>
      <c r="B996" s="1866"/>
      <c r="C996" s="2559" t="s">
        <v>784</v>
      </c>
      <c r="D996" s="2560" t="s">
        <v>718</v>
      </c>
      <c r="E996" s="2561">
        <v>1248</v>
      </c>
      <c r="F996" s="2562">
        <v>1248</v>
      </c>
      <c r="G996" s="2563">
        <v>0</v>
      </c>
      <c r="H996" s="2564">
        <f t="shared" si="62"/>
        <v>0</v>
      </c>
      <c r="J996" s="1370"/>
    </row>
    <row r="997" spans="1:10" s="1622" customFormat="1" ht="18" customHeight="1">
      <c r="A997" s="1631"/>
      <c r="B997" s="1866"/>
      <c r="C997" s="2559" t="s">
        <v>971</v>
      </c>
      <c r="D997" s="2560" t="s">
        <v>901</v>
      </c>
      <c r="E997" s="2561">
        <v>150000</v>
      </c>
      <c r="F997" s="2562">
        <v>140000</v>
      </c>
      <c r="G997" s="2563">
        <v>0</v>
      </c>
      <c r="H997" s="2564">
        <f t="shared" si="62"/>
        <v>0</v>
      </c>
      <c r="J997" s="1370"/>
    </row>
    <row r="998" spans="1:10" s="1622" customFormat="1" ht="18" hidden="1" customHeight="1">
      <c r="A998" s="1631"/>
      <c r="B998" s="1866"/>
      <c r="C998" s="2559" t="s">
        <v>902</v>
      </c>
      <c r="D998" s="2560" t="s">
        <v>901</v>
      </c>
      <c r="E998" s="2561">
        <v>0</v>
      </c>
      <c r="F998" s="2562"/>
      <c r="G998" s="2563"/>
      <c r="H998" s="2564" t="e">
        <f t="shared" si="62"/>
        <v>#DIV/0!</v>
      </c>
      <c r="J998" s="1370"/>
    </row>
    <row r="999" spans="1:10" s="1622" customFormat="1" ht="18" hidden="1" customHeight="1" thickBot="1">
      <c r="A999" s="1631"/>
      <c r="B999" s="1866"/>
      <c r="C999" s="2559" t="s">
        <v>903</v>
      </c>
      <c r="D999" s="2560" t="s">
        <v>901</v>
      </c>
      <c r="E999" s="2561">
        <v>0</v>
      </c>
      <c r="F999" s="2562"/>
      <c r="G999" s="2563"/>
      <c r="H999" s="2564" t="e">
        <f t="shared" si="62"/>
        <v>#DIV/0!</v>
      </c>
      <c r="J999" s="1370"/>
    </row>
    <row r="1000" spans="1:10" s="1622" customFormat="1" ht="18" customHeight="1">
      <c r="A1000" s="1653"/>
      <c r="B1000" s="1866"/>
      <c r="C1000" s="2559" t="s">
        <v>834</v>
      </c>
      <c r="D1000" s="2567" t="s">
        <v>722</v>
      </c>
      <c r="E1000" s="2561">
        <v>500000</v>
      </c>
      <c r="F1000" s="2562">
        <v>500000</v>
      </c>
      <c r="G1000" s="2563">
        <v>242630</v>
      </c>
      <c r="H1000" s="2564">
        <f t="shared" si="62"/>
        <v>0.48526000000000002</v>
      </c>
      <c r="J1000" s="1370"/>
    </row>
    <row r="1001" spans="1:10" s="1622" customFormat="1" ht="18" customHeight="1">
      <c r="A1001" s="1631"/>
      <c r="B1001" s="2520"/>
      <c r="C1001" s="1886" t="s">
        <v>835</v>
      </c>
      <c r="D1001" s="2557" t="s">
        <v>726</v>
      </c>
      <c r="E1001" s="2459">
        <v>5000</v>
      </c>
      <c r="F1001" s="1859">
        <v>13500</v>
      </c>
      <c r="G1001" s="2558">
        <v>5000</v>
      </c>
      <c r="H1001" s="1659">
        <f t="shared" si="62"/>
        <v>0.37037037037037035</v>
      </c>
      <c r="J1001" s="1370"/>
    </row>
    <row r="1002" spans="1:10" s="1622" customFormat="1" ht="16.5" hidden="1" customHeight="1">
      <c r="A1002" s="1631"/>
      <c r="B1002" s="1866"/>
      <c r="C1002" s="2559" t="s">
        <v>787</v>
      </c>
      <c r="D1002" s="2560" t="s">
        <v>726</v>
      </c>
      <c r="E1002" s="2561">
        <v>0</v>
      </c>
      <c r="F1002" s="2562"/>
      <c r="G1002" s="2563"/>
      <c r="H1002" s="2564" t="e">
        <f t="shared" si="62"/>
        <v>#DIV/0!</v>
      </c>
      <c r="J1002" s="1370"/>
    </row>
    <row r="1003" spans="1:10" s="1622" customFormat="1" ht="19.5" hidden="1" customHeight="1">
      <c r="A1003" s="1631"/>
      <c r="B1003" s="1866"/>
      <c r="C1003" s="2559" t="s">
        <v>788</v>
      </c>
      <c r="D1003" s="2560" t="s">
        <v>726</v>
      </c>
      <c r="E1003" s="2561">
        <v>0</v>
      </c>
      <c r="F1003" s="2562"/>
      <c r="G1003" s="2563"/>
      <c r="H1003" s="2564" t="e">
        <f t="shared" si="62"/>
        <v>#DIV/0!</v>
      </c>
      <c r="J1003" s="1370"/>
    </row>
    <row r="1004" spans="1:10" s="1622" customFormat="1" ht="18" hidden="1" customHeight="1">
      <c r="A1004" s="1631"/>
      <c r="B1004" s="1866"/>
      <c r="C1004" s="2559" t="s">
        <v>865</v>
      </c>
      <c r="D1004" s="2568" t="s">
        <v>866</v>
      </c>
      <c r="E1004" s="2561">
        <v>0</v>
      </c>
      <c r="F1004" s="2562"/>
      <c r="G1004" s="2563"/>
      <c r="H1004" s="2564" t="e">
        <f t="shared" si="62"/>
        <v>#DIV/0!</v>
      </c>
      <c r="J1004" s="1370"/>
    </row>
    <row r="1005" spans="1:10" s="1622" customFormat="1" ht="16.5" customHeight="1">
      <c r="A1005" s="1631"/>
      <c r="B1005" s="1866"/>
      <c r="C1005" s="2559" t="s">
        <v>972</v>
      </c>
      <c r="D1005" s="2568" t="s">
        <v>866</v>
      </c>
      <c r="E1005" s="2561">
        <v>80000</v>
      </c>
      <c r="F1005" s="2562">
        <v>80000</v>
      </c>
      <c r="G1005" s="2563">
        <v>40000</v>
      </c>
      <c r="H1005" s="2564">
        <f t="shared" si="62"/>
        <v>0.5</v>
      </c>
      <c r="J1005" s="1370"/>
    </row>
    <row r="1006" spans="1:10" s="1622" customFormat="1" ht="16.5" hidden="1" customHeight="1">
      <c r="A1006" s="1631"/>
      <c r="B1006" s="1866"/>
      <c r="C1006" s="2559" t="s">
        <v>904</v>
      </c>
      <c r="D1006" s="2568" t="s">
        <v>866</v>
      </c>
      <c r="E1006" s="2561">
        <v>0</v>
      </c>
      <c r="F1006" s="2562"/>
      <c r="G1006" s="2563"/>
      <c r="H1006" s="2564" t="e">
        <f t="shared" si="62"/>
        <v>#DIV/0!</v>
      </c>
      <c r="J1006" s="1370"/>
    </row>
    <row r="1007" spans="1:10" s="1622" customFormat="1" ht="16.5" hidden="1" customHeight="1">
      <c r="A1007" s="1631"/>
      <c r="B1007" s="1866"/>
      <c r="C1007" s="2559" t="s">
        <v>905</v>
      </c>
      <c r="D1007" s="2568" t="s">
        <v>866</v>
      </c>
      <c r="E1007" s="2561">
        <v>0</v>
      </c>
      <c r="F1007" s="2562"/>
      <c r="G1007" s="2563"/>
      <c r="H1007" s="2564" t="e">
        <f t="shared" si="62"/>
        <v>#DIV/0!</v>
      </c>
      <c r="J1007" s="1370"/>
    </row>
    <row r="1008" spans="1:10" s="1622" customFormat="1" ht="51">
      <c r="A1008" s="1631"/>
      <c r="B1008" s="1866"/>
      <c r="C1008" s="2559" t="s">
        <v>791</v>
      </c>
      <c r="D1008" s="2569" t="s">
        <v>792</v>
      </c>
      <c r="E1008" s="2561">
        <v>0</v>
      </c>
      <c r="F1008" s="2562">
        <v>53</v>
      </c>
      <c r="G1008" s="2563">
        <v>0</v>
      </c>
      <c r="H1008" s="2564">
        <f t="shared" si="62"/>
        <v>0</v>
      </c>
      <c r="J1008" s="1370"/>
    </row>
    <row r="1009" spans="1:10" s="1622" customFormat="1" ht="20.25" customHeight="1">
      <c r="A1009" s="1631"/>
      <c r="B1009" s="1866"/>
      <c r="C1009" s="2559" t="s">
        <v>836</v>
      </c>
      <c r="D1009" s="2568" t="s">
        <v>1021</v>
      </c>
      <c r="E1009" s="2561">
        <v>15000</v>
      </c>
      <c r="F1009" s="2562">
        <v>15000</v>
      </c>
      <c r="G1009" s="2563">
        <v>24564</v>
      </c>
      <c r="H1009" s="2564">
        <f t="shared" si="62"/>
        <v>1.6375999999999999</v>
      </c>
      <c r="J1009" s="1370"/>
    </row>
    <row r="1010" spans="1:10" s="1622" customFormat="1" ht="20.25" customHeight="1">
      <c r="A1010" s="1631"/>
      <c r="B1010" s="1866"/>
      <c r="C1010" s="2559" t="s">
        <v>837</v>
      </c>
      <c r="D1010" s="2570" t="s">
        <v>703</v>
      </c>
      <c r="E1010" s="2561">
        <v>1860</v>
      </c>
      <c r="F1010" s="2562">
        <v>3360</v>
      </c>
      <c r="G1010" s="2563">
        <v>3500</v>
      </c>
      <c r="H1010" s="2564">
        <f t="shared" si="62"/>
        <v>1.0416666666666667</v>
      </c>
      <c r="J1010" s="1370"/>
    </row>
    <row r="1011" spans="1:10" s="1622" customFormat="1" ht="18" customHeight="1">
      <c r="A1011" s="1631"/>
      <c r="B1011" s="1866"/>
      <c r="C1011" s="2571"/>
      <c r="D1011" s="2572"/>
      <c r="E1011" s="2561"/>
      <c r="F1011" s="2562"/>
      <c r="G1011" s="2563"/>
      <c r="H1011" s="2564"/>
      <c r="J1011" s="1370"/>
    </row>
    <row r="1012" spans="1:10" s="1622" customFormat="1" ht="17.100000000000001" customHeight="1">
      <c r="A1012" s="1631"/>
      <c r="B1012" s="1866"/>
      <c r="C1012" s="4780" t="s">
        <v>744</v>
      </c>
      <c r="D1012" s="4781"/>
      <c r="E1012" s="2573">
        <f>SUM(E1013)</f>
        <v>434769</v>
      </c>
      <c r="F1012" s="2574">
        <f>SUM(F1013)</f>
        <v>269852</v>
      </c>
      <c r="G1012" s="2575">
        <f>SUM(G1013)</f>
        <v>42000</v>
      </c>
      <c r="H1012" s="2576">
        <f t="shared" ref="H1012:H1018" si="63">G1012/F1012</f>
        <v>0.15564086981011813</v>
      </c>
      <c r="J1012" s="1370"/>
    </row>
    <row r="1013" spans="1:10" s="1622" customFormat="1" ht="17.100000000000001" customHeight="1">
      <c r="A1013" s="1631"/>
      <c r="B1013" s="1866"/>
      <c r="C1013" s="4782" t="s">
        <v>745</v>
      </c>
      <c r="D1013" s="4783"/>
      <c r="E1013" s="2577">
        <f>SUM(E1014:E1015)</f>
        <v>434769</v>
      </c>
      <c r="F1013" s="2578">
        <f>SUM(F1014:F1015)</f>
        <v>269852</v>
      </c>
      <c r="G1013" s="2579">
        <f>SUM(G1014:G1015)</f>
        <v>42000</v>
      </c>
      <c r="H1013" s="2564">
        <f t="shared" si="63"/>
        <v>0.15564086981011813</v>
      </c>
      <c r="J1013" s="1370"/>
    </row>
    <row r="1014" spans="1:10" s="1622" customFormat="1" ht="17.100000000000001" customHeight="1">
      <c r="A1014" s="1631"/>
      <c r="B1014" s="1866"/>
      <c r="C1014" s="2580" t="s">
        <v>746</v>
      </c>
      <c r="D1014" s="2560" t="s">
        <v>801</v>
      </c>
      <c r="E1014" s="2577">
        <v>220000</v>
      </c>
      <c r="F1014" s="2562">
        <v>220000</v>
      </c>
      <c r="G1014" s="2563">
        <v>42000</v>
      </c>
      <c r="H1014" s="2564">
        <f t="shared" si="63"/>
        <v>0.19090909090909092</v>
      </c>
      <c r="J1014" s="1370"/>
    </row>
    <row r="1015" spans="1:10" s="1622" customFormat="1" ht="17.100000000000001" customHeight="1">
      <c r="A1015" s="1631"/>
      <c r="B1015" s="1631"/>
      <c r="C1015" s="2580" t="s">
        <v>838</v>
      </c>
      <c r="D1015" s="2560" t="s">
        <v>801</v>
      </c>
      <c r="E1015" s="2577">
        <v>214769</v>
      </c>
      <c r="F1015" s="2562">
        <v>49852</v>
      </c>
      <c r="G1015" s="2563">
        <v>0</v>
      </c>
      <c r="H1015" s="2564">
        <f t="shared" si="63"/>
        <v>0</v>
      </c>
      <c r="J1015" s="1370"/>
    </row>
    <row r="1016" spans="1:10" s="1622" customFormat="1" ht="17.100000000000001" hidden="1" customHeight="1">
      <c r="A1016" s="1631"/>
      <c r="B1016" s="1631"/>
      <c r="C1016" s="2580" t="s">
        <v>871</v>
      </c>
      <c r="D1016" s="2560" t="s">
        <v>801</v>
      </c>
      <c r="E1016" s="2577">
        <v>0</v>
      </c>
      <c r="F1016" s="2562"/>
      <c r="G1016" s="2563"/>
      <c r="H1016" s="2564" t="e">
        <f t="shared" si="63"/>
        <v>#DIV/0!</v>
      </c>
      <c r="J1016" s="1370"/>
    </row>
    <row r="1017" spans="1:10" s="1622" customFormat="1" ht="17.100000000000001" hidden="1" customHeight="1">
      <c r="A1017" s="1631"/>
      <c r="B1017" s="1631"/>
      <c r="C1017" s="2580" t="s">
        <v>853</v>
      </c>
      <c r="D1017" s="2560" t="s">
        <v>801</v>
      </c>
      <c r="E1017" s="2577">
        <v>0</v>
      </c>
      <c r="F1017" s="2562"/>
      <c r="G1017" s="2563"/>
      <c r="H1017" s="2564" t="e">
        <f t="shared" si="63"/>
        <v>#DIV/0!</v>
      </c>
      <c r="J1017" s="1370"/>
    </row>
    <row r="1018" spans="1:10" s="1622" customFormat="1" ht="27" hidden="1" customHeight="1">
      <c r="A1018" s="1631"/>
      <c r="B1018" s="1631"/>
      <c r="C1018" s="2580" t="s">
        <v>977</v>
      </c>
      <c r="D1018" s="2560" t="s">
        <v>978</v>
      </c>
      <c r="E1018" s="2577">
        <v>0</v>
      </c>
      <c r="F1018" s="2562"/>
      <c r="G1018" s="2563"/>
      <c r="H1018" s="2564" t="e">
        <f t="shared" si="63"/>
        <v>#DIV/0!</v>
      </c>
      <c r="J1018" s="1370"/>
    </row>
    <row r="1019" spans="1:10" s="1622" customFormat="1" ht="17.100000000000001" customHeight="1">
      <c r="A1019" s="1631"/>
      <c r="B1019" s="1631"/>
      <c r="C1019" s="2580"/>
      <c r="D1019" s="2560"/>
      <c r="E1019" s="2577"/>
      <c r="F1019" s="2562"/>
      <c r="G1019" s="2563"/>
      <c r="H1019" s="2564"/>
      <c r="J1019" s="1370"/>
    </row>
    <row r="1020" spans="1:10" s="1622" customFormat="1" ht="20.25" customHeight="1">
      <c r="A1020" s="1631"/>
      <c r="B1020" s="1631"/>
      <c r="C1020" s="4784" t="s">
        <v>758</v>
      </c>
      <c r="D1020" s="4785"/>
      <c r="E1020" s="2581">
        <f>SUM(E1021)</f>
        <v>214769</v>
      </c>
      <c r="F1020" s="2582">
        <f>SUM(F1021)</f>
        <v>49852</v>
      </c>
      <c r="G1020" s="2583">
        <f>SUM(G1021)</f>
        <v>0</v>
      </c>
      <c r="H1020" s="2564">
        <f t="shared" ref="H1020:H1047" si="64">G1020/F1020</f>
        <v>0</v>
      </c>
      <c r="J1020" s="1370"/>
    </row>
    <row r="1021" spans="1:10" s="1622" customFormat="1" ht="17.100000000000001" customHeight="1" thickBot="1">
      <c r="A1021" s="1653"/>
      <c r="B1021" s="1673"/>
      <c r="C1021" s="2584" t="s">
        <v>838</v>
      </c>
      <c r="D1021" s="2550" t="s">
        <v>747</v>
      </c>
      <c r="E1021" s="2551">
        <v>214769</v>
      </c>
      <c r="F1021" s="1676">
        <v>49852</v>
      </c>
      <c r="G1021" s="2552">
        <v>0</v>
      </c>
      <c r="H1021" s="1678">
        <f t="shared" si="64"/>
        <v>0</v>
      </c>
      <c r="J1021" s="1370"/>
    </row>
    <row r="1022" spans="1:10" ht="17.100000000000001" hidden="1" customHeight="1">
      <c r="A1022" s="1556"/>
      <c r="B1022" s="1556"/>
      <c r="C1022" s="2585" t="s">
        <v>871</v>
      </c>
      <c r="D1022" s="2586" t="s">
        <v>801</v>
      </c>
      <c r="E1022" s="1828">
        <v>0</v>
      </c>
      <c r="F1022" s="1909"/>
      <c r="G1022" s="2474"/>
      <c r="H1022" s="1942" t="e">
        <f t="shared" si="64"/>
        <v>#DIV/0!</v>
      </c>
    </row>
    <row r="1023" spans="1:10" ht="17.100000000000001" hidden="1" customHeight="1">
      <c r="A1023" s="1556"/>
      <c r="B1023" s="1556"/>
      <c r="C1023" s="2587" t="s">
        <v>853</v>
      </c>
      <c r="D1023" s="2588" t="s">
        <v>801</v>
      </c>
      <c r="E1023" s="2589">
        <v>0</v>
      </c>
      <c r="F1023" s="2590"/>
      <c r="G1023" s="2591"/>
      <c r="H1023" s="2592" t="e">
        <f t="shared" si="64"/>
        <v>#DIV/0!</v>
      </c>
    </row>
    <row r="1024" spans="1:10" ht="27.75" hidden="1" customHeight="1" thickBot="1">
      <c r="A1024" s="1556"/>
      <c r="B1024" s="1556"/>
      <c r="C1024" s="2593" t="s">
        <v>977</v>
      </c>
      <c r="D1024" s="2594" t="s">
        <v>978</v>
      </c>
      <c r="E1024" s="2589">
        <v>0</v>
      </c>
      <c r="F1024" s="2595"/>
      <c r="G1024" s="2596"/>
      <c r="H1024" s="2597" t="e">
        <f t="shared" si="64"/>
        <v>#DIV/0!</v>
      </c>
    </row>
    <row r="1025" spans="1:10" ht="17.100000000000001" customHeight="1" thickBot="1">
      <c r="A1025" s="1556"/>
      <c r="B1025" s="2128" t="s">
        <v>1022</v>
      </c>
      <c r="C1025" s="2209"/>
      <c r="D1025" s="2598" t="s">
        <v>454</v>
      </c>
      <c r="E1025" s="2599">
        <v>0</v>
      </c>
      <c r="F1025" s="1804">
        <f>SUM(F1026,F1037)</f>
        <v>60000</v>
      </c>
      <c r="G1025" s="1804">
        <f>SUM(G1026,G1037)</f>
        <v>0</v>
      </c>
      <c r="H1025" s="1506">
        <f t="shared" si="64"/>
        <v>0</v>
      </c>
    </row>
    <row r="1026" spans="1:10" ht="17.100000000000001" customHeight="1">
      <c r="A1026" s="1556"/>
      <c r="B1026" s="4786"/>
      <c r="C1026" s="4496" t="s">
        <v>688</v>
      </c>
      <c r="D1026" s="4524"/>
      <c r="E1026" s="2600">
        <v>0</v>
      </c>
      <c r="F1026" s="2102">
        <f>SUM(F1027)</f>
        <v>60000</v>
      </c>
      <c r="G1026" s="2102">
        <f>SUM(G1027)</f>
        <v>0</v>
      </c>
      <c r="H1026" s="1420">
        <f t="shared" si="64"/>
        <v>0</v>
      </c>
    </row>
    <row r="1027" spans="1:10" ht="17.100000000000001" customHeight="1">
      <c r="A1027" s="1556"/>
      <c r="B1027" s="4787"/>
      <c r="C1027" s="4789" t="s">
        <v>689</v>
      </c>
      <c r="D1027" s="4790"/>
      <c r="E1027" s="2601">
        <v>0</v>
      </c>
      <c r="F1027" s="2602">
        <f>SUM(F1028,F1031)</f>
        <v>60000</v>
      </c>
      <c r="G1027" s="2602">
        <f>SUM(G1028,G1031)</f>
        <v>0</v>
      </c>
      <c r="H1027" s="2603"/>
    </row>
    <row r="1028" spans="1:10" ht="17.100000000000001" hidden="1" customHeight="1">
      <c r="A1028" s="1556"/>
      <c r="B1028" s="4787"/>
      <c r="C1028" s="4791" t="s">
        <v>690</v>
      </c>
      <c r="D1028" s="4792"/>
      <c r="E1028" s="2601">
        <v>0</v>
      </c>
      <c r="F1028" s="2602"/>
      <c r="G1028" s="2604"/>
      <c r="H1028" s="2603"/>
    </row>
    <row r="1029" spans="1:10" ht="17.100000000000001" hidden="1" customHeight="1">
      <c r="A1029" s="1556"/>
      <c r="B1029" s="4787"/>
      <c r="C1029" s="2605" t="s">
        <v>700</v>
      </c>
      <c r="D1029" s="2606" t="s">
        <v>701</v>
      </c>
      <c r="E1029" s="2601">
        <v>0</v>
      </c>
      <c r="F1029" s="2602"/>
      <c r="G1029" s="2604"/>
      <c r="H1029" s="2603"/>
    </row>
    <row r="1030" spans="1:10" ht="17.100000000000001" hidden="1" customHeight="1">
      <c r="A1030" s="1556"/>
      <c r="B1030" s="4787"/>
      <c r="C1030" s="2607"/>
      <c r="D1030" s="2608"/>
      <c r="E1030" s="2609"/>
      <c r="F1030" s="2602"/>
      <c r="G1030" s="2604"/>
      <c r="H1030" s="2603"/>
    </row>
    <row r="1031" spans="1:10" ht="17.100000000000001" customHeight="1">
      <c r="A1031" s="1556"/>
      <c r="B1031" s="4787"/>
      <c r="C1031" s="4793" t="s">
        <v>704</v>
      </c>
      <c r="D1031" s="4794"/>
      <c r="E1031" s="2601">
        <v>0</v>
      </c>
      <c r="F1031" s="2610">
        <f>SUM(F1032:F1035)</f>
        <v>60000</v>
      </c>
      <c r="G1031" s="2610">
        <f>SUM(G1032:G1035)</f>
        <v>0</v>
      </c>
      <c r="H1031" s="2611">
        <f t="shared" si="64"/>
        <v>0</v>
      </c>
    </row>
    <row r="1032" spans="1:10" ht="17.100000000000001" hidden="1" customHeight="1">
      <c r="A1032" s="1556"/>
      <c r="B1032" s="4787"/>
      <c r="C1032" s="2605" t="s">
        <v>707</v>
      </c>
      <c r="D1032" s="2606" t="s">
        <v>708</v>
      </c>
      <c r="E1032" s="2601">
        <v>0</v>
      </c>
      <c r="F1032" s="2602"/>
      <c r="G1032" s="2604"/>
      <c r="H1032" s="2603" t="e">
        <f t="shared" si="64"/>
        <v>#DIV/0!</v>
      </c>
    </row>
    <row r="1033" spans="1:10" ht="17.100000000000001" customHeight="1">
      <c r="A1033" s="1556"/>
      <c r="B1033" s="4787"/>
      <c r="C1033" s="2605" t="s">
        <v>717</v>
      </c>
      <c r="D1033" s="2606" t="s">
        <v>718</v>
      </c>
      <c r="E1033" s="2601">
        <v>0</v>
      </c>
      <c r="F1033" s="2602">
        <v>34754</v>
      </c>
      <c r="G1033" s="2604">
        <v>0</v>
      </c>
      <c r="H1033" s="2603">
        <f t="shared" si="64"/>
        <v>0</v>
      </c>
    </row>
    <row r="1034" spans="1:10" ht="17.100000000000001" customHeight="1" thickBot="1">
      <c r="A1034" s="1556"/>
      <c r="B1034" s="4787"/>
      <c r="C1034" s="2612" t="s">
        <v>900</v>
      </c>
      <c r="D1034" s="2560" t="s">
        <v>901</v>
      </c>
      <c r="E1034" s="2609">
        <v>0</v>
      </c>
      <c r="F1034" s="2602">
        <v>25246</v>
      </c>
      <c r="G1034" s="2613">
        <v>0</v>
      </c>
      <c r="H1034" s="2603">
        <f t="shared" si="64"/>
        <v>0</v>
      </c>
    </row>
    <row r="1035" spans="1:10" ht="17.100000000000001" hidden="1" customHeight="1">
      <c r="A1035" s="1556"/>
      <c r="B1035" s="4788"/>
      <c r="C1035" s="2614" t="s">
        <v>1023</v>
      </c>
      <c r="D1035" s="2615" t="s">
        <v>1024</v>
      </c>
      <c r="E1035" s="2616">
        <v>0</v>
      </c>
      <c r="F1035" s="1538"/>
      <c r="G1035" s="2146"/>
      <c r="H1035" s="1540" t="e">
        <f t="shared" si="64"/>
        <v>#DIV/0!</v>
      </c>
    </row>
    <row r="1036" spans="1:10" ht="17.100000000000001" hidden="1" customHeight="1">
      <c r="A1036" s="1556"/>
      <c r="B1036" s="2100"/>
      <c r="C1036" s="1408"/>
      <c r="D1036" s="2109"/>
      <c r="E1036" s="2333"/>
      <c r="F1036" s="1451"/>
      <c r="G1036" s="2617"/>
      <c r="H1036" s="1453"/>
    </row>
    <row r="1037" spans="1:10" ht="17.100000000000001" hidden="1" customHeight="1">
      <c r="A1037" s="1556"/>
      <c r="B1037" s="2100"/>
      <c r="C1037" s="4772" t="s">
        <v>744</v>
      </c>
      <c r="D1037" s="4773"/>
      <c r="E1037" s="2328">
        <v>0</v>
      </c>
      <c r="F1037" s="2141"/>
      <c r="G1037" s="2618"/>
      <c r="H1037" s="2143"/>
    </row>
    <row r="1038" spans="1:10" ht="17.100000000000001" hidden="1" customHeight="1">
      <c r="A1038" s="1556"/>
      <c r="B1038" s="2100"/>
      <c r="C1038" s="4762" t="s">
        <v>745</v>
      </c>
      <c r="D1038" s="4763"/>
      <c r="E1038" s="2619">
        <v>0</v>
      </c>
      <c r="F1038" s="2141"/>
      <c r="G1038" s="2618"/>
      <c r="H1038" s="2143"/>
    </row>
    <row r="1039" spans="1:10" ht="17.100000000000001" hidden="1" customHeight="1" thickBot="1">
      <c r="A1039" s="1556"/>
      <c r="B1039" s="2100"/>
      <c r="C1039" s="2620" t="s">
        <v>746</v>
      </c>
      <c r="D1039" s="2621" t="s">
        <v>801</v>
      </c>
      <c r="E1039" s="2616">
        <v>0</v>
      </c>
      <c r="F1039" s="2141"/>
      <c r="G1039" s="2618"/>
      <c r="H1039" s="2622"/>
    </row>
    <row r="1040" spans="1:10" s="1622" customFormat="1" ht="18.75" customHeight="1" thickBot="1">
      <c r="A1040" s="1631"/>
      <c r="B1040" s="2623" t="s">
        <v>1025</v>
      </c>
      <c r="C1040" s="1972"/>
      <c r="D1040" s="2624" t="s">
        <v>456</v>
      </c>
      <c r="E1040" s="2625">
        <f>SUM(E1041)</f>
        <v>225000</v>
      </c>
      <c r="F1040" s="2626">
        <f>SUM(F1041)</f>
        <v>225000</v>
      </c>
      <c r="G1040" s="2627">
        <f>SUM(G1041)</f>
        <v>254000</v>
      </c>
      <c r="H1040" s="1630">
        <f t="shared" si="64"/>
        <v>1.1288888888888888</v>
      </c>
      <c r="J1040" s="1370"/>
    </row>
    <row r="1041" spans="1:10" s="1622" customFormat="1" ht="15.75" customHeight="1">
      <c r="A1041" s="1631"/>
      <c r="B1041" s="2628"/>
      <c r="C1041" s="4711" t="s">
        <v>688</v>
      </c>
      <c r="D1041" s="4774"/>
      <c r="E1041" s="2629">
        <f>SUM(E1042,E1057)</f>
        <v>225000</v>
      </c>
      <c r="F1041" s="2630">
        <f>SUM(F1042,F1057)</f>
        <v>225000</v>
      </c>
      <c r="G1041" s="2631">
        <f>SUM(G1042,G1057)</f>
        <v>254000</v>
      </c>
      <c r="H1041" s="1636">
        <f t="shared" si="64"/>
        <v>1.1288888888888888</v>
      </c>
      <c r="J1041" s="1370"/>
    </row>
    <row r="1042" spans="1:10" s="1622" customFormat="1" ht="16.5" customHeight="1">
      <c r="A1042" s="1631"/>
      <c r="B1042" s="2536"/>
      <c r="C1042" s="4775" t="s">
        <v>689</v>
      </c>
      <c r="D1042" s="4776"/>
      <c r="E1042" s="2632">
        <f>SUM(E1043,E1049)</f>
        <v>218000</v>
      </c>
      <c r="F1042" s="2633">
        <f>SUM(F1043,F1049)</f>
        <v>218000</v>
      </c>
      <c r="G1042" s="2634">
        <f>SUM(G1043,G1049)</f>
        <v>247000</v>
      </c>
      <c r="H1042" s="2353">
        <f t="shared" si="64"/>
        <v>1.1330275229357798</v>
      </c>
      <c r="J1042" s="1370"/>
    </row>
    <row r="1043" spans="1:10" s="1622" customFormat="1" ht="16.5" customHeight="1">
      <c r="A1043" s="1631"/>
      <c r="B1043" s="2536"/>
      <c r="C1043" s="4777" t="s">
        <v>690</v>
      </c>
      <c r="D1043" s="4778"/>
      <c r="E1043" s="2354">
        <f>SUM(E1044:E1047)</f>
        <v>160000</v>
      </c>
      <c r="F1043" s="2355">
        <f>SUM(F1044:F1047)</f>
        <v>160000</v>
      </c>
      <c r="G1043" s="2508">
        <f>SUM(G1044:G1047)</f>
        <v>180000</v>
      </c>
      <c r="H1043" s="2357">
        <f t="shared" si="64"/>
        <v>1.125</v>
      </c>
      <c r="J1043" s="1370" t="s">
        <v>1017</v>
      </c>
    </row>
    <row r="1044" spans="1:10" s="1622" customFormat="1" ht="16.5" customHeight="1">
      <c r="A1044" s="1631"/>
      <c r="B1044" s="2536"/>
      <c r="C1044" s="2635" t="s">
        <v>692</v>
      </c>
      <c r="D1044" s="2546" t="s">
        <v>693</v>
      </c>
      <c r="E1044" s="2350">
        <v>132063</v>
      </c>
      <c r="F1044" s="2351">
        <v>132063</v>
      </c>
      <c r="G1044" s="2636">
        <v>148780</v>
      </c>
      <c r="H1044" s="2353">
        <f t="shared" si="64"/>
        <v>1.1265835245299591</v>
      </c>
      <c r="J1044" s="1370"/>
    </row>
    <row r="1045" spans="1:10" s="1622" customFormat="1" ht="18" customHeight="1">
      <c r="A1045" s="1631"/>
      <c r="B1045" s="2536"/>
      <c r="C1045" s="2637" t="s">
        <v>696</v>
      </c>
      <c r="D1045" s="2546" t="s">
        <v>697</v>
      </c>
      <c r="E1045" s="2350">
        <v>22701</v>
      </c>
      <c r="F1045" s="2351">
        <v>22701</v>
      </c>
      <c r="G1045" s="2636">
        <v>25575</v>
      </c>
      <c r="H1045" s="2353">
        <f t="shared" si="64"/>
        <v>1.1266023523192812</v>
      </c>
      <c r="J1045" s="1370"/>
    </row>
    <row r="1046" spans="1:10" s="1622" customFormat="1" ht="17.25" customHeight="1">
      <c r="A1046" s="1631"/>
      <c r="B1046" s="2536"/>
      <c r="C1046" s="2637" t="s">
        <v>698</v>
      </c>
      <c r="D1046" s="2546" t="s">
        <v>699</v>
      </c>
      <c r="E1046" s="2350">
        <v>3236</v>
      </c>
      <c r="F1046" s="2351">
        <v>3236</v>
      </c>
      <c r="G1046" s="2636">
        <v>3645</v>
      </c>
      <c r="H1046" s="2353">
        <f t="shared" si="64"/>
        <v>1.1263906056860322</v>
      </c>
      <c r="J1046" s="1370"/>
    </row>
    <row r="1047" spans="1:10" s="1622" customFormat="1" ht="17.25" customHeight="1">
      <c r="A1047" s="1631"/>
      <c r="B1047" s="2536"/>
      <c r="C1047" s="2637" t="s">
        <v>700</v>
      </c>
      <c r="D1047" s="2546" t="s">
        <v>701</v>
      </c>
      <c r="E1047" s="2350">
        <v>2000</v>
      </c>
      <c r="F1047" s="2351">
        <v>2000</v>
      </c>
      <c r="G1047" s="2636">
        <v>2000</v>
      </c>
      <c r="H1047" s="2353">
        <f t="shared" si="64"/>
        <v>1</v>
      </c>
      <c r="J1047" s="1370"/>
    </row>
    <row r="1048" spans="1:10" s="1622" customFormat="1" ht="16.5" customHeight="1">
      <c r="A1048" s="1653"/>
      <c r="B1048" s="2536"/>
      <c r="C1048" s="2638"/>
      <c r="D1048" s="2639"/>
      <c r="E1048" s="2632"/>
      <c r="F1048" s="2351"/>
      <c r="G1048" s="2480"/>
      <c r="H1048" s="2353"/>
      <c r="J1048" s="1370"/>
    </row>
    <row r="1049" spans="1:10" s="1622" customFormat="1" ht="16.5" customHeight="1">
      <c r="A1049" s="1631"/>
      <c r="B1049" s="1637"/>
      <c r="C1049" s="4779" t="s">
        <v>704</v>
      </c>
      <c r="D1049" s="4779"/>
      <c r="E1049" s="2640">
        <f>SUM(E1050:E1055)</f>
        <v>58000</v>
      </c>
      <c r="F1049" s="2641">
        <f>SUM(F1050:F1055)</f>
        <v>58000</v>
      </c>
      <c r="G1049" s="2642">
        <f>SUM(G1050:G1055)</f>
        <v>67000</v>
      </c>
      <c r="H1049" s="2357">
        <f t="shared" ref="H1049:H1055" si="65">G1049/F1049</f>
        <v>1.1551724137931034</v>
      </c>
      <c r="J1049" s="1370" t="s">
        <v>1017</v>
      </c>
    </row>
    <row r="1050" spans="1:10" s="1622" customFormat="1" ht="17.25" customHeight="1">
      <c r="A1050" s="1631"/>
      <c r="B1050" s="1637"/>
      <c r="C1050" s="2643" t="s">
        <v>707</v>
      </c>
      <c r="D1050" s="2380" t="s">
        <v>708</v>
      </c>
      <c r="E1050" s="2632">
        <v>27000</v>
      </c>
      <c r="F1050" s="2351">
        <v>27000</v>
      </c>
      <c r="G1050" s="2636">
        <v>30000</v>
      </c>
      <c r="H1050" s="2353">
        <f t="shared" si="65"/>
        <v>1.1111111111111112</v>
      </c>
      <c r="J1050" s="1370"/>
    </row>
    <row r="1051" spans="1:10" s="1622" customFormat="1" ht="17.25" customHeight="1">
      <c r="A1051" s="1631"/>
      <c r="B1051" s="1637"/>
      <c r="C1051" s="2643" t="s">
        <v>709</v>
      </c>
      <c r="D1051" s="2380" t="s">
        <v>710</v>
      </c>
      <c r="E1051" s="2632">
        <v>1000</v>
      </c>
      <c r="F1051" s="2351">
        <v>1000</v>
      </c>
      <c r="G1051" s="2636">
        <v>1000</v>
      </c>
      <c r="H1051" s="2353">
        <f t="shared" si="65"/>
        <v>1</v>
      </c>
      <c r="J1051" s="1370"/>
    </row>
    <row r="1052" spans="1:10" s="1622" customFormat="1" ht="16.5" customHeight="1">
      <c r="A1052" s="1631"/>
      <c r="B1052" s="1637"/>
      <c r="C1052" s="2481" t="s">
        <v>717</v>
      </c>
      <c r="D1052" s="2482" t="s">
        <v>718</v>
      </c>
      <c r="E1052" s="2632">
        <v>24000</v>
      </c>
      <c r="F1052" s="2351">
        <v>24000</v>
      </c>
      <c r="G1052" s="2636">
        <v>30000</v>
      </c>
      <c r="H1052" s="2353">
        <f t="shared" si="65"/>
        <v>1.25</v>
      </c>
      <c r="J1052" s="1370"/>
    </row>
    <row r="1053" spans="1:10" s="1622" customFormat="1" ht="16.5" customHeight="1">
      <c r="A1053" s="1631"/>
      <c r="B1053" s="1637"/>
      <c r="C1053" s="1664" t="s">
        <v>721</v>
      </c>
      <c r="D1053" s="2447" t="s">
        <v>722</v>
      </c>
      <c r="E1053" s="2644">
        <v>2000</v>
      </c>
      <c r="F1053" s="2351">
        <v>2000</v>
      </c>
      <c r="G1053" s="2636">
        <v>2000</v>
      </c>
      <c r="H1053" s="2353">
        <f t="shared" si="65"/>
        <v>1</v>
      </c>
      <c r="J1053" s="1370"/>
    </row>
    <row r="1054" spans="1:10" s="1622" customFormat="1" ht="16.5" customHeight="1">
      <c r="A1054" s="1631"/>
      <c r="B1054" s="1637"/>
      <c r="C1054" s="2645" t="s">
        <v>725</v>
      </c>
      <c r="D1054" s="2646" t="s">
        <v>726</v>
      </c>
      <c r="E1054" s="2632">
        <v>2000</v>
      </c>
      <c r="F1054" s="2351">
        <v>2000</v>
      </c>
      <c r="G1054" s="2636">
        <v>2000</v>
      </c>
      <c r="H1054" s="2353">
        <f t="shared" si="65"/>
        <v>1</v>
      </c>
      <c r="J1054" s="1370"/>
    </row>
    <row r="1055" spans="1:10" s="1622" customFormat="1" ht="16.5" customHeight="1">
      <c r="A1055" s="1631"/>
      <c r="B1055" s="1637"/>
      <c r="C1055" s="2547" t="s">
        <v>739</v>
      </c>
      <c r="D1055" s="2647" t="s">
        <v>1021</v>
      </c>
      <c r="E1055" s="2632">
        <v>2000</v>
      </c>
      <c r="F1055" s="2351">
        <v>2000</v>
      </c>
      <c r="G1055" s="2636">
        <v>2000</v>
      </c>
      <c r="H1055" s="2353">
        <f t="shared" si="65"/>
        <v>1</v>
      </c>
      <c r="J1055" s="1370"/>
    </row>
    <row r="1056" spans="1:10" s="1622" customFormat="1" ht="16.5" customHeight="1">
      <c r="A1056" s="1631"/>
      <c r="B1056" s="1671"/>
      <c r="C1056" s="2648"/>
      <c r="D1056" s="2649"/>
      <c r="E1056" s="2632"/>
      <c r="F1056" s="2351"/>
      <c r="G1056" s="2378"/>
      <c r="H1056" s="2353"/>
      <c r="J1056" s="1370"/>
    </row>
    <row r="1057" spans="1:10" s="1622" customFormat="1" ht="14.25" customHeight="1">
      <c r="A1057" s="1631"/>
      <c r="B1057" s="1671"/>
      <c r="C1057" s="4764" t="s">
        <v>1026</v>
      </c>
      <c r="D1057" s="4765"/>
      <c r="E1057" s="2644">
        <f>SUM(E1058)</f>
        <v>7000</v>
      </c>
      <c r="F1057" s="2650">
        <f>SUM(F1058)</f>
        <v>7000</v>
      </c>
      <c r="G1057" s="2651">
        <f>SUM(G1058)</f>
        <v>7000</v>
      </c>
      <c r="H1057" s="2353">
        <f t="shared" ref="H1057:H1062" si="66">G1057/F1057</f>
        <v>1</v>
      </c>
      <c r="J1057" s="1370" t="s">
        <v>1017</v>
      </c>
    </row>
    <row r="1058" spans="1:10" s="1622" customFormat="1" ht="18.75" customHeight="1" thickBot="1">
      <c r="A1058" s="1631"/>
      <c r="B1058" s="1674"/>
      <c r="C1058" s="2652" t="s">
        <v>984</v>
      </c>
      <c r="D1058" s="2653" t="s">
        <v>993</v>
      </c>
      <c r="E1058" s="2654">
        <v>7000</v>
      </c>
      <c r="F1058" s="1676">
        <v>7000</v>
      </c>
      <c r="G1058" s="2512">
        <v>7000</v>
      </c>
      <c r="H1058" s="1678">
        <f t="shared" si="66"/>
        <v>1</v>
      </c>
      <c r="J1058" s="1370"/>
    </row>
    <row r="1059" spans="1:10" s="1370" customFormat="1" ht="17.100000000000001" customHeight="1" thickBot="1">
      <c r="A1059" s="4473"/>
      <c r="B1059" s="2179" t="s">
        <v>244</v>
      </c>
      <c r="C1059" s="2655"/>
      <c r="D1059" s="2656" t="s">
        <v>312</v>
      </c>
      <c r="E1059" s="1503">
        <f>SUM(E1060,E1160)</f>
        <v>41712784</v>
      </c>
      <c r="F1059" s="1504">
        <f>SUM(F1060,F1160)</f>
        <v>43805413</v>
      </c>
      <c r="G1059" s="1505">
        <f>SUM(G1060,G1160)</f>
        <v>32325958</v>
      </c>
      <c r="H1059" s="1506">
        <f t="shared" si="66"/>
        <v>0.73794437230850896</v>
      </c>
    </row>
    <row r="1060" spans="1:10" s="1370" customFormat="1" ht="17.100000000000001" customHeight="1">
      <c r="A1060" s="4473"/>
      <c r="B1060" s="2657"/>
      <c r="C1060" s="4496" t="s">
        <v>688</v>
      </c>
      <c r="D1060" s="4524"/>
      <c r="E1060" s="2658">
        <f>SUM(E1061,E1086,E1091,E1094)</f>
        <v>12553376</v>
      </c>
      <c r="F1060" s="2659">
        <f>SUM(F1061,F1086,F1091,F1094)</f>
        <v>15679602</v>
      </c>
      <c r="G1060" s="2660">
        <f>SUM(G1061,G1086,G1091,G1094)</f>
        <v>16759744</v>
      </c>
      <c r="H1060" s="1509">
        <f t="shared" si="66"/>
        <v>1.0688883557120901</v>
      </c>
    </row>
    <row r="1061" spans="1:10" s="1370" customFormat="1" ht="17.100000000000001" customHeight="1">
      <c r="A1061" s="1408"/>
      <c r="B1061" s="2661"/>
      <c r="C1061" s="4766" t="s">
        <v>689</v>
      </c>
      <c r="D1061" s="4767"/>
      <c r="E1061" s="2662">
        <f>SUM(E1062,E1070)</f>
        <v>8253450</v>
      </c>
      <c r="F1061" s="2663">
        <f>SUM(F1062,F1070)</f>
        <v>7794963</v>
      </c>
      <c r="G1061" s="2664">
        <f>SUM(G1062,G1070)</f>
        <v>7972955</v>
      </c>
      <c r="H1061" s="2143">
        <f t="shared" si="66"/>
        <v>1.0228342328244535</v>
      </c>
    </row>
    <row r="1062" spans="1:10" s="1370" customFormat="1" ht="17.100000000000001" customHeight="1">
      <c r="A1062" s="1408"/>
      <c r="B1062" s="2661"/>
      <c r="C1062" s="4768" t="s">
        <v>690</v>
      </c>
      <c r="D1062" s="4769"/>
      <c r="E1062" s="2665">
        <f>SUM(E1063:E1068)</f>
        <v>284500</v>
      </c>
      <c r="F1062" s="2666">
        <f>SUM(F1063:F1068)</f>
        <v>54000</v>
      </c>
      <c r="G1062" s="2667">
        <f>SUM(G1063:G1068)</f>
        <v>216200</v>
      </c>
      <c r="H1062" s="2153">
        <f t="shared" si="66"/>
        <v>4.003703703703704</v>
      </c>
    </row>
    <row r="1063" spans="1:10" s="1370" customFormat="1" ht="17.100000000000001" hidden="1" customHeight="1">
      <c r="A1063" s="1408"/>
      <c r="B1063" s="2661"/>
      <c r="C1063" s="2668" t="s">
        <v>692</v>
      </c>
      <c r="D1063" s="2669" t="s">
        <v>693</v>
      </c>
      <c r="E1063" s="2662">
        <v>150000</v>
      </c>
      <c r="F1063" s="2141">
        <v>0</v>
      </c>
      <c r="G1063" s="2670">
        <v>0</v>
      </c>
      <c r="H1063" s="2143"/>
    </row>
    <row r="1064" spans="1:10" s="1370" customFormat="1" ht="17.100000000000001" hidden="1" customHeight="1">
      <c r="A1064" s="1408"/>
      <c r="B1064" s="2661"/>
      <c r="C1064" s="2668" t="s">
        <v>694</v>
      </c>
      <c r="D1064" s="2669" t="s">
        <v>695</v>
      </c>
      <c r="E1064" s="2662">
        <v>20000</v>
      </c>
      <c r="F1064" s="2141">
        <v>0</v>
      </c>
      <c r="G1064" s="2670">
        <v>0</v>
      </c>
      <c r="H1064" s="2143"/>
    </row>
    <row r="1065" spans="1:10" s="1370" customFormat="1" ht="17.100000000000001" hidden="1" customHeight="1">
      <c r="A1065" s="1408"/>
      <c r="B1065" s="2661"/>
      <c r="C1065" s="2668" t="s">
        <v>696</v>
      </c>
      <c r="D1065" s="2669" t="s">
        <v>697</v>
      </c>
      <c r="E1065" s="2662">
        <v>26000</v>
      </c>
      <c r="F1065" s="2141">
        <v>0</v>
      </c>
      <c r="G1065" s="2670">
        <v>0</v>
      </c>
      <c r="H1065" s="2143"/>
    </row>
    <row r="1066" spans="1:10" s="1370" customFormat="1" ht="17.100000000000001" hidden="1" customHeight="1">
      <c r="A1066" s="1408"/>
      <c r="B1066" s="2661"/>
      <c r="C1066" s="2668" t="s">
        <v>698</v>
      </c>
      <c r="D1066" s="2669" t="s">
        <v>699</v>
      </c>
      <c r="E1066" s="2662">
        <v>4000</v>
      </c>
      <c r="F1066" s="2141">
        <v>0</v>
      </c>
      <c r="G1066" s="2670">
        <v>0</v>
      </c>
      <c r="H1066" s="2143"/>
    </row>
    <row r="1067" spans="1:10" s="1370" customFormat="1" ht="17.100000000000001" customHeight="1">
      <c r="A1067" s="1408"/>
      <c r="B1067" s="2661"/>
      <c r="C1067" s="2668" t="s">
        <v>700</v>
      </c>
      <c r="D1067" s="2669" t="s">
        <v>701</v>
      </c>
      <c r="E1067" s="2662">
        <v>84000</v>
      </c>
      <c r="F1067" s="2141">
        <v>54000</v>
      </c>
      <c r="G1067" s="2670">
        <v>216200</v>
      </c>
      <c r="H1067" s="2143">
        <f>G1067/F1067</f>
        <v>4.003703703703704</v>
      </c>
      <c r="J1067" s="1370" t="s">
        <v>940</v>
      </c>
    </row>
    <row r="1068" spans="1:10" s="1370" customFormat="1" ht="17.100000000000001" hidden="1" customHeight="1">
      <c r="A1068" s="1408"/>
      <c r="B1068" s="2661"/>
      <c r="C1068" s="2668" t="s">
        <v>702</v>
      </c>
      <c r="D1068" s="2669" t="s">
        <v>703</v>
      </c>
      <c r="E1068" s="2662">
        <v>500</v>
      </c>
      <c r="F1068" s="2141">
        <v>0</v>
      </c>
      <c r="G1068" s="2670">
        <v>0</v>
      </c>
      <c r="H1068" s="2143"/>
    </row>
    <row r="1069" spans="1:10" s="1370" customFormat="1" ht="17.100000000000001" customHeight="1">
      <c r="A1069" s="1429"/>
      <c r="B1069" s="1751"/>
      <c r="C1069" s="2671"/>
      <c r="D1069" s="2672"/>
      <c r="E1069" s="2662"/>
      <c r="F1069" s="2141"/>
      <c r="G1069" s="2670"/>
      <c r="H1069" s="2143"/>
    </row>
    <row r="1070" spans="1:10" s="1370" customFormat="1" ht="17.100000000000001" customHeight="1">
      <c r="A1070" s="1408"/>
      <c r="B1070" s="2661"/>
      <c r="C1070" s="4770" t="s">
        <v>704</v>
      </c>
      <c r="D1070" s="4771"/>
      <c r="E1070" s="2665">
        <f>SUM(E1071:E1084)</f>
        <v>7968950</v>
      </c>
      <c r="F1070" s="2666">
        <f>SUM(F1071:F1084)</f>
        <v>7740963</v>
      </c>
      <c r="G1070" s="2667">
        <f>SUM(G1071:G1084)</f>
        <v>7756755</v>
      </c>
      <c r="H1070" s="1580">
        <f>G1070/F1070</f>
        <v>1.0020400562565666</v>
      </c>
    </row>
    <row r="1071" spans="1:10" s="1370" customFormat="1" ht="17.100000000000001" customHeight="1">
      <c r="A1071" s="1408"/>
      <c r="B1071" s="2661"/>
      <c r="C1071" s="2668" t="s">
        <v>707</v>
      </c>
      <c r="D1071" s="2669" t="s">
        <v>708</v>
      </c>
      <c r="E1071" s="2328">
        <v>95000</v>
      </c>
      <c r="F1071" s="2141">
        <v>60000</v>
      </c>
      <c r="G1071" s="2670">
        <f>15000+85000+5000</f>
        <v>105000</v>
      </c>
      <c r="H1071" s="2143">
        <f>G1071/F1071</f>
        <v>1.75</v>
      </c>
      <c r="J1071" s="1370" t="s">
        <v>1027</v>
      </c>
    </row>
    <row r="1072" spans="1:10" s="1370" customFormat="1" ht="17.100000000000001" hidden="1" customHeight="1">
      <c r="A1072" s="1408"/>
      <c r="B1072" s="2661"/>
      <c r="C1072" s="2668" t="s">
        <v>709</v>
      </c>
      <c r="D1072" s="2669" t="s">
        <v>710</v>
      </c>
      <c r="E1072" s="2328">
        <v>1500</v>
      </c>
      <c r="F1072" s="2141">
        <v>0</v>
      </c>
      <c r="G1072" s="2670">
        <v>0</v>
      </c>
      <c r="H1072" s="2143"/>
    </row>
    <row r="1073" spans="1:10" s="1370" customFormat="1" ht="17.100000000000001" customHeight="1">
      <c r="A1073" s="1408"/>
      <c r="B1073" s="2661"/>
      <c r="C1073" s="2668" t="s">
        <v>717</v>
      </c>
      <c r="D1073" s="2669" t="s">
        <v>718</v>
      </c>
      <c r="E1073" s="2328">
        <v>6900969</v>
      </c>
      <c r="F1073" s="2141">
        <v>6456369</v>
      </c>
      <c r="G1073" s="2670">
        <v>6511725</v>
      </c>
      <c r="H1073" s="2143">
        <f>G1073/F1073</f>
        <v>1.0085738593937243</v>
      </c>
      <c r="J1073" s="1370" t="s">
        <v>1028</v>
      </c>
    </row>
    <row r="1074" spans="1:10" s="1370" customFormat="1" ht="17.100000000000001" hidden="1" customHeight="1">
      <c r="A1074" s="1408"/>
      <c r="B1074" s="2661"/>
      <c r="C1074" s="2668" t="s">
        <v>719</v>
      </c>
      <c r="D1074" s="2673" t="s">
        <v>720</v>
      </c>
      <c r="E1074" s="2328">
        <v>5000</v>
      </c>
      <c r="F1074" s="2141">
        <v>0</v>
      </c>
      <c r="G1074" s="2670">
        <v>0</v>
      </c>
      <c r="H1074" s="2143"/>
    </row>
    <row r="1075" spans="1:10" s="1370" customFormat="1" ht="17.100000000000001" customHeight="1">
      <c r="A1075" s="1408"/>
      <c r="B1075" s="2661"/>
      <c r="C1075" s="2668" t="s">
        <v>900</v>
      </c>
      <c r="D1075" s="2669" t="s">
        <v>901</v>
      </c>
      <c r="E1075" s="2328">
        <v>13640</v>
      </c>
      <c r="F1075" s="2141">
        <v>12640</v>
      </c>
      <c r="G1075" s="2670">
        <f>4000+6000</f>
        <v>10000</v>
      </c>
      <c r="H1075" s="2143">
        <f t="shared" ref="H1075:H1084" si="67">G1075/F1075</f>
        <v>0.79113924050632911</v>
      </c>
      <c r="J1075" s="1370" t="s">
        <v>1029</v>
      </c>
    </row>
    <row r="1076" spans="1:10" s="1370" customFormat="1" ht="17.100000000000001" customHeight="1">
      <c r="A1076" s="1408"/>
      <c r="B1076" s="2661"/>
      <c r="C1076" s="2668" t="s">
        <v>721</v>
      </c>
      <c r="D1076" s="2669" t="s">
        <v>722</v>
      </c>
      <c r="E1076" s="2328">
        <v>447700</v>
      </c>
      <c r="F1076" s="2141">
        <v>252700</v>
      </c>
      <c r="G1076" s="2670">
        <f>1000+541850+30000+17768</f>
        <v>590618</v>
      </c>
      <c r="H1076" s="2143">
        <f t="shared" si="67"/>
        <v>2.337229916897507</v>
      </c>
      <c r="J1076" s="1370" t="s">
        <v>1030</v>
      </c>
    </row>
    <row r="1077" spans="1:10" s="1370" customFormat="1" ht="17.100000000000001" customHeight="1">
      <c r="A1077" s="1408"/>
      <c r="B1077" s="2661"/>
      <c r="C1077" s="2668" t="s">
        <v>725</v>
      </c>
      <c r="D1077" s="2669" t="s">
        <v>726</v>
      </c>
      <c r="E1077" s="2328">
        <v>4000</v>
      </c>
      <c r="F1077" s="2141">
        <v>2000</v>
      </c>
      <c r="G1077" s="2670">
        <v>3000</v>
      </c>
      <c r="H1077" s="2143">
        <f t="shared" si="67"/>
        <v>1.5</v>
      </c>
      <c r="J1077" s="1370" t="s">
        <v>826</v>
      </c>
    </row>
    <row r="1078" spans="1:10" s="1370" customFormat="1" ht="17.100000000000001" customHeight="1" thickBot="1">
      <c r="A1078" s="1516"/>
      <c r="B1078" s="2674"/>
      <c r="C1078" s="2675" t="s">
        <v>865</v>
      </c>
      <c r="D1078" s="2676" t="s">
        <v>866</v>
      </c>
      <c r="E1078" s="2616">
        <v>8000</v>
      </c>
      <c r="F1078" s="1538">
        <v>3000</v>
      </c>
      <c r="G1078" s="2146">
        <f>25000+6750</f>
        <v>31750</v>
      </c>
      <c r="H1078" s="1540">
        <f t="shared" si="67"/>
        <v>10.583333333333334</v>
      </c>
      <c r="J1078" s="1370" t="s">
        <v>1031</v>
      </c>
    </row>
    <row r="1079" spans="1:10" s="1370" customFormat="1" ht="17.100000000000001" customHeight="1">
      <c r="A1079" s="1585"/>
      <c r="B1079" s="2657"/>
      <c r="C1079" s="2677" t="s">
        <v>727</v>
      </c>
      <c r="D1079" s="2678" t="s">
        <v>728</v>
      </c>
      <c r="E1079" s="2679">
        <v>373027</v>
      </c>
      <c r="F1079" s="1528">
        <v>371379</v>
      </c>
      <c r="G1079" s="1587">
        <f>256481+170000</f>
        <v>426481</v>
      </c>
      <c r="H1079" s="1530">
        <f t="shared" si="67"/>
        <v>1.1483713403288824</v>
      </c>
      <c r="J1079" s="1370" t="s">
        <v>1032</v>
      </c>
    </row>
    <row r="1080" spans="1:10" s="1370" customFormat="1" ht="17.100000000000001" customHeight="1">
      <c r="A1080" s="1408"/>
      <c r="B1080" s="2661"/>
      <c r="C1080" s="2668" t="s">
        <v>1033</v>
      </c>
      <c r="D1080" s="2669" t="s">
        <v>1034</v>
      </c>
      <c r="E1080" s="2328">
        <v>63000</v>
      </c>
      <c r="F1080" s="2141">
        <v>64000</v>
      </c>
      <c r="G1080" s="2670">
        <f>15000+50000</f>
        <v>65000</v>
      </c>
      <c r="H1080" s="2143">
        <f t="shared" si="67"/>
        <v>1.015625</v>
      </c>
      <c r="J1080" s="1370" t="s">
        <v>1029</v>
      </c>
    </row>
    <row r="1081" spans="1:10" s="1370" customFormat="1" ht="16.5" hidden="1" customHeight="1">
      <c r="A1081" s="1408"/>
      <c r="B1081" s="2661"/>
      <c r="C1081" s="2668" t="s">
        <v>954</v>
      </c>
      <c r="D1081" s="2669"/>
      <c r="E1081" s="2328">
        <v>0</v>
      </c>
      <c r="F1081" s="2141">
        <v>0</v>
      </c>
      <c r="G1081" s="2670"/>
      <c r="H1081" s="2143" t="e">
        <f t="shared" si="67"/>
        <v>#DIV/0!</v>
      </c>
    </row>
    <row r="1082" spans="1:10" s="1370" customFormat="1" ht="17.100000000000001" customHeight="1">
      <c r="A1082" s="1408"/>
      <c r="B1082" s="2661"/>
      <c r="C1082" s="2668" t="s">
        <v>847</v>
      </c>
      <c r="D1082" s="2669" t="s">
        <v>848</v>
      </c>
      <c r="E1082" s="2328">
        <v>0</v>
      </c>
      <c r="F1082" s="2141">
        <v>365488</v>
      </c>
      <c r="G1082" s="2670">
        <v>0</v>
      </c>
      <c r="H1082" s="2143">
        <f t="shared" si="67"/>
        <v>0</v>
      </c>
    </row>
    <row r="1083" spans="1:10" s="1370" customFormat="1" ht="15.75" customHeight="1">
      <c r="A1083" s="1408"/>
      <c r="B1083" s="2661"/>
      <c r="C1083" s="2668" t="s">
        <v>815</v>
      </c>
      <c r="D1083" s="2669" t="s">
        <v>816</v>
      </c>
      <c r="E1083" s="2328">
        <v>17114</v>
      </c>
      <c r="F1083" s="2141">
        <v>123387</v>
      </c>
      <c r="G1083" s="2670">
        <f>5000+8181</f>
        <v>13181</v>
      </c>
      <c r="H1083" s="2143">
        <f t="shared" si="67"/>
        <v>0.10682648901423974</v>
      </c>
      <c r="J1083" s="1370" t="s">
        <v>1035</v>
      </c>
    </row>
    <row r="1084" spans="1:10" s="1370" customFormat="1" ht="15.75" customHeight="1">
      <c r="A1084" s="1408"/>
      <c r="B1084" s="2661"/>
      <c r="C1084" s="2680" t="s">
        <v>739</v>
      </c>
      <c r="D1084" s="2681" t="s">
        <v>1021</v>
      </c>
      <c r="E1084" s="2328">
        <v>40000</v>
      </c>
      <c r="F1084" s="2141">
        <v>30000</v>
      </c>
      <c r="G1084" s="2670">
        <v>0</v>
      </c>
      <c r="H1084" s="2143">
        <f t="shared" si="67"/>
        <v>0</v>
      </c>
    </row>
    <row r="1085" spans="1:10" s="1370" customFormat="1" ht="15.75" customHeight="1">
      <c r="A1085" s="1408"/>
      <c r="B1085" s="2661"/>
      <c r="C1085" s="2682"/>
      <c r="D1085" s="2683"/>
      <c r="E1085" s="2328"/>
      <c r="F1085" s="2141"/>
      <c r="G1085" s="2670"/>
      <c r="H1085" s="2143"/>
    </row>
    <row r="1086" spans="1:10" s="1370" customFormat="1" ht="16.5" customHeight="1">
      <c r="A1086" s="1408"/>
      <c r="B1086" s="2661"/>
      <c r="C1086" s="4654" t="s">
        <v>797</v>
      </c>
      <c r="D1086" s="4754"/>
      <c r="E1086" s="2166">
        <f>SUM(E1087)</f>
        <v>0</v>
      </c>
      <c r="F1086" s="2141">
        <f>SUM(F1087)</f>
        <v>23625</v>
      </c>
      <c r="G1086" s="2684">
        <f>SUM(G1087)</f>
        <v>0</v>
      </c>
      <c r="H1086" s="2143">
        <f>G1086/F1086</f>
        <v>0</v>
      </c>
    </row>
    <row r="1087" spans="1:10" s="1370" customFormat="1" ht="38.25">
      <c r="A1087" s="1408"/>
      <c r="B1087" s="2661"/>
      <c r="C1087" s="2685" t="s">
        <v>353</v>
      </c>
      <c r="D1087" s="2686" t="s">
        <v>932</v>
      </c>
      <c r="E1087" s="2328">
        <v>0</v>
      </c>
      <c r="F1087" s="2141">
        <v>23625</v>
      </c>
      <c r="G1087" s="2670">
        <v>0</v>
      </c>
      <c r="H1087" s="2143">
        <f>G1087/F1087</f>
        <v>0</v>
      </c>
    </row>
    <row r="1088" spans="1:10" s="1370" customFormat="1" ht="38.25" hidden="1" customHeight="1">
      <c r="A1088" s="1408"/>
      <c r="B1088" s="2661"/>
      <c r="C1088" s="2680" t="s">
        <v>850</v>
      </c>
      <c r="D1088" s="2681" t="s">
        <v>1036</v>
      </c>
      <c r="E1088" s="2328">
        <v>0</v>
      </c>
      <c r="F1088" s="2141"/>
      <c r="G1088" s="2670"/>
      <c r="H1088" s="2143" t="e">
        <f>G1088/F1088</f>
        <v>#DIV/0!</v>
      </c>
    </row>
    <row r="1089" spans="1:10" s="1370" customFormat="1" ht="15" hidden="1" customHeight="1">
      <c r="A1089" s="1408"/>
      <c r="B1089" s="2661"/>
      <c r="C1089" s="2668" t="s">
        <v>739</v>
      </c>
      <c r="D1089" s="2687" t="s">
        <v>1021</v>
      </c>
      <c r="E1089" s="2328">
        <v>0</v>
      </c>
      <c r="F1089" s="2141"/>
      <c r="G1089" s="2670"/>
      <c r="H1089" s="2143" t="e">
        <f>G1089/F1089</f>
        <v>#DIV/0!</v>
      </c>
    </row>
    <row r="1090" spans="1:10" s="1370" customFormat="1" ht="17.100000000000001" customHeight="1">
      <c r="A1090" s="1408"/>
      <c r="B1090" s="2661"/>
      <c r="C1090" s="2688"/>
      <c r="D1090" s="2689"/>
      <c r="E1090" s="2328"/>
      <c r="F1090" s="2141"/>
      <c r="G1090" s="2670"/>
      <c r="H1090" s="2143"/>
    </row>
    <row r="1091" spans="1:10" s="1370" customFormat="1" ht="17.100000000000001" customHeight="1">
      <c r="A1091" s="1408"/>
      <c r="B1091" s="2661"/>
      <c r="C1091" s="4755" t="s">
        <v>1026</v>
      </c>
      <c r="D1091" s="4756"/>
      <c r="E1091" s="2328">
        <f>SUM(E1092)</f>
        <v>25153</v>
      </c>
      <c r="F1091" s="2321">
        <f>SUM(F1092)</f>
        <v>25153</v>
      </c>
      <c r="G1091" s="2690">
        <f>SUM(G1092)</f>
        <v>5200</v>
      </c>
      <c r="H1091" s="2143">
        <f>G1091/F1091</f>
        <v>0.20673478312726115</v>
      </c>
    </row>
    <row r="1092" spans="1:10" s="1370" customFormat="1" ht="17.100000000000001" customHeight="1">
      <c r="A1092" s="1408"/>
      <c r="B1092" s="2661"/>
      <c r="C1092" s="2668" t="s">
        <v>984</v>
      </c>
      <c r="D1092" s="2669" t="s">
        <v>993</v>
      </c>
      <c r="E1092" s="2328">
        <v>25153</v>
      </c>
      <c r="F1092" s="2141">
        <v>25153</v>
      </c>
      <c r="G1092" s="2670">
        <v>5200</v>
      </c>
      <c r="H1092" s="2143">
        <f>G1092/F1092</f>
        <v>0.20673478312726115</v>
      </c>
      <c r="J1092" s="1370" t="s">
        <v>1037</v>
      </c>
    </row>
    <row r="1093" spans="1:10" s="1370" customFormat="1" ht="17.100000000000001" customHeight="1">
      <c r="A1093" s="1408"/>
      <c r="B1093" s="1751"/>
      <c r="C1093" s="4757"/>
      <c r="D1093" s="4758"/>
      <c r="E1093" s="2328"/>
      <c r="F1093" s="2141"/>
      <c r="G1093" s="2670"/>
      <c r="H1093" s="2143"/>
    </row>
    <row r="1094" spans="1:10" s="1370" customFormat="1" ht="17.100000000000001" customHeight="1">
      <c r="A1094" s="1429"/>
      <c r="B1094" s="2661"/>
      <c r="C1094" s="4759" t="s">
        <v>761</v>
      </c>
      <c r="D1094" s="4368"/>
      <c r="E1094" s="2662">
        <f>SUM(E1095:E1158)</f>
        <v>4274773</v>
      </c>
      <c r="F1094" s="2663">
        <f>SUM(F1095:F1158)</f>
        <v>7835861</v>
      </c>
      <c r="G1094" s="2664">
        <f>SUM(G1095:G1158)</f>
        <v>8781589</v>
      </c>
      <c r="H1094" s="1453">
        <f t="shared" ref="H1094:H1139" si="68">G1094/F1094</f>
        <v>1.1206922889520372</v>
      </c>
      <c r="J1094" s="1370" t="s">
        <v>940</v>
      </c>
    </row>
    <row r="1095" spans="1:10" s="1370" customFormat="1" ht="64.5" customHeight="1">
      <c r="A1095" s="1408"/>
      <c r="B1095" s="2661"/>
      <c r="C1095" s="2691" t="s">
        <v>459</v>
      </c>
      <c r="D1095" s="2692" t="s">
        <v>763</v>
      </c>
      <c r="E1095" s="2693">
        <v>501117</v>
      </c>
      <c r="F1095" s="2141">
        <v>432440</v>
      </c>
      <c r="G1095" s="2694">
        <v>290967</v>
      </c>
      <c r="H1095" s="2143">
        <f t="shared" si="68"/>
        <v>0.67284941263527887</v>
      </c>
    </row>
    <row r="1096" spans="1:10" s="1370" customFormat="1" ht="65.25" hidden="1" customHeight="1">
      <c r="A1096" s="1408"/>
      <c r="B1096" s="2661"/>
      <c r="C1096" s="2691" t="s">
        <v>762</v>
      </c>
      <c r="D1096" s="2692" t="s">
        <v>763</v>
      </c>
      <c r="E1096" s="2693">
        <v>0</v>
      </c>
      <c r="F1096" s="2141"/>
      <c r="G1096" s="2694"/>
      <c r="H1096" s="2143" t="e">
        <f t="shared" si="68"/>
        <v>#DIV/0!</v>
      </c>
    </row>
    <row r="1097" spans="1:10" s="1370" customFormat="1" ht="65.25" customHeight="1">
      <c r="A1097" s="1408"/>
      <c r="B1097" s="1751"/>
      <c r="C1097" s="2691" t="s">
        <v>623</v>
      </c>
      <c r="D1097" s="2695" t="s">
        <v>763</v>
      </c>
      <c r="E1097" s="2693">
        <v>30658</v>
      </c>
      <c r="F1097" s="2141">
        <v>27181</v>
      </c>
      <c r="G1097" s="2694">
        <v>17618</v>
      </c>
      <c r="H1097" s="2143">
        <f t="shared" si="68"/>
        <v>0.64817335638865381</v>
      </c>
    </row>
    <row r="1098" spans="1:10" s="1370" customFormat="1" ht="52.5" customHeight="1">
      <c r="A1098" s="1429"/>
      <c r="B1098" s="2661"/>
      <c r="C1098" s="2088" t="s">
        <v>446</v>
      </c>
      <c r="D1098" s="2692" t="s">
        <v>1038</v>
      </c>
      <c r="E1098" s="2662">
        <v>298291</v>
      </c>
      <c r="F1098" s="1451">
        <v>345819</v>
      </c>
      <c r="G1098" s="2694">
        <v>2484113</v>
      </c>
      <c r="H1098" s="1453">
        <f t="shared" si="68"/>
        <v>7.183275065858151</v>
      </c>
    </row>
    <row r="1099" spans="1:10" s="1370" customFormat="1" ht="52.5" customHeight="1">
      <c r="A1099" s="1429"/>
      <c r="B1099" s="1751"/>
      <c r="C1099" s="2691" t="s">
        <v>448</v>
      </c>
      <c r="D1099" s="2695" t="s">
        <v>1038</v>
      </c>
      <c r="E1099" s="2693">
        <v>18064</v>
      </c>
      <c r="F1099" s="2141">
        <v>20942</v>
      </c>
      <c r="G1099" s="2694">
        <v>150432</v>
      </c>
      <c r="H1099" s="2143">
        <f t="shared" si="68"/>
        <v>7.1832680737274375</v>
      </c>
    </row>
    <row r="1100" spans="1:10" s="1370" customFormat="1" ht="52.5" hidden="1" customHeight="1">
      <c r="A1100" s="1408"/>
      <c r="B1100" s="1751"/>
      <c r="C1100" s="2088" t="s">
        <v>628</v>
      </c>
      <c r="D1100" s="2692" t="s">
        <v>765</v>
      </c>
      <c r="E1100" s="2662">
        <v>0</v>
      </c>
      <c r="F1100" s="2141"/>
      <c r="G1100" s="2696"/>
      <c r="H1100" s="2143" t="e">
        <f t="shared" si="68"/>
        <v>#DIV/0!</v>
      </c>
    </row>
    <row r="1101" spans="1:10" s="1370" customFormat="1" ht="52.5" hidden="1" customHeight="1">
      <c r="A1101" s="1408"/>
      <c r="B1101" s="1751"/>
      <c r="C1101" s="2691" t="s">
        <v>564</v>
      </c>
      <c r="D1101" s="2692" t="s">
        <v>765</v>
      </c>
      <c r="E1101" s="2693">
        <v>0</v>
      </c>
      <c r="F1101" s="2141"/>
      <c r="G1101" s="2696"/>
      <c r="H1101" s="2143" t="e">
        <f t="shared" si="68"/>
        <v>#DIV/0!</v>
      </c>
    </row>
    <row r="1102" spans="1:10" s="1370" customFormat="1" ht="22.5" customHeight="1">
      <c r="A1102" s="1429"/>
      <c r="B1102" s="1751"/>
      <c r="C1102" s="2691" t="s">
        <v>610</v>
      </c>
      <c r="D1102" s="2692" t="s">
        <v>825</v>
      </c>
      <c r="E1102" s="2693">
        <v>0</v>
      </c>
      <c r="F1102" s="2141">
        <v>282870</v>
      </c>
      <c r="G1102" s="2696">
        <v>0</v>
      </c>
      <c r="H1102" s="2143">
        <f t="shared" si="68"/>
        <v>0</v>
      </c>
    </row>
    <row r="1103" spans="1:10" s="1370" customFormat="1" ht="19.5" customHeight="1">
      <c r="A1103" s="1408"/>
      <c r="B1103" s="1751"/>
      <c r="C1103" s="2691" t="s">
        <v>565</v>
      </c>
      <c r="D1103" s="2692" t="s">
        <v>825</v>
      </c>
      <c r="E1103" s="2693">
        <v>0</v>
      </c>
      <c r="F1103" s="2141">
        <v>17130</v>
      </c>
      <c r="G1103" s="2696">
        <v>0</v>
      </c>
      <c r="H1103" s="2143">
        <f t="shared" si="68"/>
        <v>0</v>
      </c>
    </row>
    <row r="1104" spans="1:10" s="1370" customFormat="1" ht="15.75" hidden="1" customHeight="1">
      <c r="A1104" s="1408"/>
      <c r="B1104" s="1751"/>
      <c r="C1104" s="2691" t="s">
        <v>1039</v>
      </c>
      <c r="D1104" s="2692" t="s">
        <v>825</v>
      </c>
      <c r="E1104" s="2693">
        <v>0</v>
      </c>
      <c r="F1104" s="2141"/>
      <c r="G1104" s="2696"/>
      <c r="H1104" s="2143" t="e">
        <f t="shared" si="68"/>
        <v>#DIV/0!</v>
      </c>
    </row>
    <row r="1105" spans="1:10" s="1370" customFormat="1" ht="15.75" customHeight="1">
      <c r="A1105" s="1408"/>
      <c r="B1105" s="1751"/>
      <c r="C1105" s="2697" t="s">
        <v>827</v>
      </c>
      <c r="D1105" s="2669" t="s">
        <v>693</v>
      </c>
      <c r="E1105" s="2328">
        <v>143500</v>
      </c>
      <c r="F1105" s="2141">
        <v>256237</v>
      </c>
      <c r="G1105" s="2694">
        <v>18991</v>
      </c>
      <c r="H1105" s="2143">
        <f t="shared" si="68"/>
        <v>7.4114979491642502E-2</v>
      </c>
    </row>
    <row r="1106" spans="1:10" s="1370" customFormat="1" ht="17.100000000000001" customHeight="1">
      <c r="A1106" s="1408"/>
      <c r="B1106" s="1751"/>
      <c r="C1106" s="2697" t="s">
        <v>766</v>
      </c>
      <c r="D1106" s="2669" t="s">
        <v>693</v>
      </c>
      <c r="E1106" s="2328">
        <v>1064729</v>
      </c>
      <c r="F1106" s="2141">
        <v>1473807</v>
      </c>
      <c r="G1106" s="2694">
        <f>73732+379080+400000</f>
        <v>852812</v>
      </c>
      <c r="H1106" s="2143">
        <f t="shared" si="68"/>
        <v>0.57864564356119896</v>
      </c>
      <c r="J1106" s="1370" t="s">
        <v>1040</v>
      </c>
    </row>
    <row r="1107" spans="1:10" s="1370" customFormat="1" ht="17.100000000000001" customHeight="1">
      <c r="A1107" s="1408"/>
      <c r="B1107" s="1751"/>
      <c r="C1107" s="2668" t="s">
        <v>767</v>
      </c>
      <c r="D1107" s="2669" t="s">
        <v>693</v>
      </c>
      <c r="E1107" s="2328">
        <v>213168</v>
      </c>
      <c r="F1107" s="2141">
        <v>224872</v>
      </c>
      <c r="G1107" s="2694">
        <f>1151+13011+66897</f>
        <v>81059</v>
      </c>
      <c r="H1107" s="2143">
        <f t="shared" si="68"/>
        <v>0.3604672880572059</v>
      </c>
      <c r="J1107" s="1370" t="s">
        <v>1041</v>
      </c>
    </row>
    <row r="1108" spans="1:10" s="1370" customFormat="1" ht="17.100000000000001" customHeight="1">
      <c r="A1108" s="1408"/>
      <c r="B1108" s="1751"/>
      <c r="C1108" s="2698" t="s">
        <v>768</v>
      </c>
      <c r="D1108" s="2699" t="s">
        <v>695</v>
      </c>
      <c r="E1108" s="2328">
        <v>75735</v>
      </c>
      <c r="F1108" s="2141">
        <v>103367</v>
      </c>
      <c r="G1108" s="2670">
        <f>5950+84745+30000</f>
        <v>120695</v>
      </c>
      <c r="H1108" s="2143">
        <f t="shared" si="68"/>
        <v>1.1676357057861793</v>
      </c>
      <c r="J1108" s="1370" t="s">
        <v>1042</v>
      </c>
    </row>
    <row r="1109" spans="1:10" s="1370" customFormat="1" ht="17.100000000000001" customHeight="1">
      <c r="A1109" s="1408"/>
      <c r="B1109" s="1751"/>
      <c r="C1109" s="2697" t="s">
        <v>769</v>
      </c>
      <c r="D1109" s="2673" t="s">
        <v>695</v>
      </c>
      <c r="E1109" s="2662">
        <v>13365</v>
      </c>
      <c r="F1109" s="2141">
        <v>12948</v>
      </c>
      <c r="G1109" s="2670">
        <f>1050+14955</f>
        <v>16005</v>
      </c>
      <c r="H1109" s="2143">
        <f t="shared" si="68"/>
        <v>1.2360982391102873</v>
      </c>
      <c r="J1109" s="1370" t="s">
        <v>826</v>
      </c>
    </row>
    <row r="1110" spans="1:10" s="1370" customFormat="1" ht="17.100000000000001" customHeight="1">
      <c r="A1110" s="1408"/>
      <c r="B1110" s="1751"/>
      <c r="C1110" s="2668" t="s">
        <v>829</v>
      </c>
      <c r="D1110" s="2669" t="s">
        <v>697</v>
      </c>
      <c r="E1110" s="2328">
        <v>24803</v>
      </c>
      <c r="F1110" s="2141">
        <v>44551</v>
      </c>
      <c r="G1110" s="2694">
        <v>3265</v>
      </c>
      <c r="H1110" s="2143">
        <f t="shared" si="68"/>
        <v>7.3286794909205186E-2</v>
      </c>
    </row>
    <row r="1111" spans="1:10" s="1370" customFormat="1" ht="17.100000000000001" customHeight="1">
      <c r="A1111" s="1408"/>
      <c r="B1111" s="1751"/>
      <c r="C1111" s="2668" t="s">
        <v>770</v>
      </c>
      <c r="D1111" s="2669" t="s">
        <v>697</v>
      </c>
      <c r="E1111" s="2328">
        <v>195576</v>
      </c>
      <c r="F1111" s="2141">
        <v>274472</v>
      </c>
      <c r="G1111" s="2694">
        <f>12674+75626+70000</f>
        <v>158300</v>
      </c>
      <c r="H1111" s="2143">
        <f t="shared" si="68"/>
        <v>0.57674371156256377</v>
      </c>
      <c r="J1111" s="1370" t="s">
        <v>1040</v>
      </c>
    </row>
    <row r="1112" spans="1:10" s="1370" customFormat="1" ht="17.100000000000001" customHeight="1">
      <c r="A1112" s="1408"/>
      <c r="B1112" s="1751"/>
      <c r="C1112" s="2668" t="s">
        <v>771</v>
      </c>
      <c r="D1112" s="2669" t="s">
        <v>697</v>
      </c>
      <c r="E1112" s="2328">
        <v>38875</v>
      </c>
      <c r="F1112" s="2141">
        <v>42035</v>
      </c>
      <c r="G1112" s="2694">
        <f>198+2237+13346</f>
        <v>15781</v>
      </c>
      <c r="H1112" s="2143">
        <f t="shared" si="68"/>
        <v>0.375425240870703</v>
      </c>
      <c r="J1112" s="1370" t="s">
        <v>1041</v>
      </c>
    </row>
    <row r="1113" spans="1:10" s="1370" customFormat="1" ht="16.5" customHeight="1">
      <c r="A1113" s="1408"/>
      <c r="B1113" s="1751"/>
      <c r="C1113" s="2668" t="s">
        <v>830</v>
      </c>
      <c r="D1113" s="2669" t="s">
        <v>699</v>
      </c>
      <c r="E1113" s="2328">
        <v>3460</v>
      </c>
      <c r="F1113" s="2141">
        <v>6161</v>
      </c>
      <c r="G1113" s="2694">
        <v>466</v>
      </c>
      <c r="H1113" s="2143">
        <f t="shared" si="68"/>
        <v>7.563707190391171E-2</v>
      </c>
    </row>
    <row r="1114" spans="1:10" s="1370" customFormat="1" ht="16.5" customHeight="1">
      <c r="A1114" s="1408"/>
      <c r="B1114" s="1751"/>
      <c r="C1114" s="2668" t="s">
        <v>772</v>
      </c>
      <c r="D1114" s="2669" t="s">
        <v>699</v>
      </c>
      <c r="E1114" s="2328">
        <v>28468</v>
      </c>
      <c r="F1114" s="2141">
        <v>40312</v>
      </c>
      <c r="G1114" s="2694">
        <f>1806+9463+10000</f>
        <v>21269</v>
      </c>
      <c r="H1114" s="2143">
        <f t="shared" si="68"/>
        <v>0.52760964477078787</v>
      </c>
      <c r="J1114" s="1370" t="s">
        <v>1040</v>
      </c>
    </row>
    <row r="1115" spans="1:10" s="1370" customFormat="1" ht="16.5" customHeight="1">
      <c r="A1115" s="1408"/>
      <c r="B1115" s="1751"/>
      <c r="C1115" s="2668" t="s">
        <v>773</v>
      </c>
      <c r="D1115" s="2669" t="s">
        <v>699</v>
      </c>
      <c r="E1115" s="2328">
        <v>5632</v>
      </c>
      <c r="F1115" s="2141">
        <v>6061</v>
      </c>
      <c r="G1115" s="2694">
        <f>29+319+1670</f>
        <v>2018</v>
      </c>
      <c r="H1115" s="2143">
        <f t="shared" si="68"/>
        <v>0.33294835835670683</v>
      </c>
      <c r="J1115" s="1370" t="s">
        <v>1041</v>
      </c>
    </row>
    <row r="1116" spans="1:10" s="1370" customFormat="1" ht="17.100000000000001" hidden="1" customHeight="1">
      <c r="A1116" s="1408"/>
      <c r="B1116" s="1751"/>
      <c r="C1116" s="2668" t="s">
        <v>970</v>
      </c>
      <c r="D1116" s="2669" t="s">
        <v>701</v>
      </c>
      <c r="E1116" s="2328">
        <v>0</v>
      </c>
      <c r="F1116" s="2141"/>
      <c r="G1116" s="2670"/>
      <c r="H1116" s="2143" t="e">
        <f t="shared" si="68"/>
        <v>#DIV/0!</v>
      </c>
    </row>
    <row r="1117" spans="1:10" s="1370" customFormat="1" ht="17.100000000000001" hidden="1" customHeight="1">
      <c r="A1117" s="1408"/>
      <c r="B1117" s="1751"/>
      <c r="C1117" s="2668" t="s">
        <v>774</v>
      </c>
      <c r="D1117" s="2669" t="s">
        <v>701</v>
      </c>
      <c r="E1117" s="2328">
        <v>0</v>
      </c>
      <c r="F1117" s="2141"/>
      <c r="G1117" s="2670"/>
      <c r="H1117" s="2143" t="e">
        <f t="shared" si="68"/>
        <v>#DIV/0!</v>
      </c>
    </row>
    <row r="1118" spans="1:10" s="1370" customFormat="1" ht="17.100000000000001" hidden="1" customHeight="1">
      <c r="A1118" s="1408"/>
      <c r="B1118" s="1751"/>
      <c r="C1118" s="2668" t="s">
        <v>775</v>
      </c>
      <c r="D1118" s="2669" t="s">
        <v>701</v>
      </c>
      <c r="E1118" s="2328">
        <v>0</v>
      </c>
      <c r="F1118" s="2141"/>
      <c r="G1118" s="2670"/>
      <c r="H1118" s="2143" t="e">
        <f t="shared" si="68"/>
        <v>#DIV/0!</v>
      </c>
    </row>
    <row r="1119" spans="1:10" s="1370" customFormat="1" ht="17.100000000000001" hidden="1" customHeight="1">
      <c r="A1119" s="1408"/>
      <c r="B1119" s="1751"/>
      <c r="C1119" s="2668" t="s">
        <v>707</v>
      </c>
      <c r="D1119" s="2669" t="s">
        <v>708</v>
      </c>
      <c r="E1119" s="2328">
        <v>0</v>
      </c>
      <c r="F1119" s="2141"/>
      <c r="G1119" s="2670"/>
      <c r="H1119" s="2143" t="e">
        <f t="shared" si="68"/>
        <v>#DIV/0!</v>
      </c>
    </row>
    <row r="1120" spans="1:10" s="1370" customFormat="1" ht="17.100000000000001" customHeight="1">
      <c r="A1120" s="1408"/>
      <c r="B1120" s="1751"/>
      <c r="C1120" s="2668" t="s">
        <v>832</v>
      </c>
      <c r="D1120" s="2669" t="s">
        <v>708</v>
      </c>
      <c r="E1120" s="2328">
        <v>122618</v>
      </c>
      <c r="F1120" s="2141">
        <v>247550</v>
      </c>
      <c r="G1120" s="2670">
        <v>258485</v>
      </c>
      <c r="H1120" s="2143">
        <f t="shared" si="68"/>
        <v>1.0441728943647748</v>
      </c>
    </row>
    <row r="1121" spans="1:10" s="1370" customFormat="1" ht="17.100000000000001" customHeight="1">
      <c r="A1121" s="1408"/>
      <c r="B1121" s="1751"/>
      <c r="C1121" s="2668" t="s">
        <v>779</v>
      </c>
      <c r="D1121" s="2669" t="s">
        <v>708</v>
      </c>
      <c r="E1121" s="2328">
        <v>54396</v>
      </c>
      <c r="F1121" s="2141">
        <v>212901</v>
      </c>
      <c r="G1121" s="2670">
        <f>7207+150000</f>
        <v>157207</v>
      </c>
      <c r="H1121" s="2143">
        <f t="shared" si="68"/>
        <v>0.73840423483215201</v>
      </c>
      <c r="J1121" s="1370" t="s">
        <v>1042</v>
      </c>
    </row>
    <row r="1122" spans="1:10" s="1370" customFormat="1" ht="15">
      <c r="A1122" s="1408"/>
      <c r="B1122" s="1751"/>
      <c r="C1122" s="2668" t="s">
        <v>780</v>
      </c>
      <c r="D1122" s="2669" t="s">
        <v>708</v>
      </c>
      <c r="E1122" s="2328">
        <v>28176</v>
      </c>
      <c r="F1122" s="2141">
        <v>51091</v>
      </c>
      <c r="G1122" s="2670">
        <f>47502+1271</f>
        <v>48773</v>
      </c>
      <c r="H1122" s="2143">
        <f t="shared" si="68"/>
        <v>0.95462997396801785</v>
      </c>
      <c r="J1122" s="1370" t="s">
        <v>826</v>
      </c>
    </row>
    <row r="1123" spans="1:10" s="1370" customFormat="1" ht="15">
      <c r="A1123" s="1408"/>
      <c r="B1123" s="1751"/>
      <c r="C1123" s="2668" t="s">
        <v>1043</v>
      </c>
      <c r="D1123" s="2669" t="s">
        <v>710</v>
      </c>
      <c r="E1123" s="2328">
        <v>0</v>
      </c>
      <c r="F1123" s="2141">
        <v>5000</v>
      </c>
      <c r="G1123" s="2670">
        <v>4000</v>
      </c>
      <c r="H1123" s="2143">
        <f t="shared" si="68"/>
        <v>0.8</v>
      </c>
      <c r="J1123" s="1370" t="s">
        <v>1044</v>
      </c>
    </row>
    <row r="1124" spans="1:10" s="1370" customFormat="1" ht="15" hidden="1">
      <c r="A1124" s="1408"/>
      <c r="B1124" s="1751"/>
      <c r="C1124" s="2668" t="s">
        <v>1045</v>
      </c>
      <c r="D1124" s="2669" t="s">
        <v>710</v>
      </c>
      <c r="E1124" s="2328">
        <v>0</v>
      </c>
      <c r="F1124" s="2141"/>
      <c r="G1124" s="2670"/>
      <c r="H1124" s="2143" t="e">
        <f t="shared" si="68"/>
        <v>#DIV/0!</v>
      </c>
    </row>
    <row r="1125" spans="1:10" s="1370" customFormat="1" ht="15" hidden="1">
      <c r="A1125" s="1408"/>
      <c r="B1125" s="1751"/>
      <c r="C1125" s="2668" t="s">
        <v>1046</v>
      </c>
      <c r="D1125" s="2669" t="s">
        <v>712</v>
      </c>
      <c r="E1125" s="2328">
        <v>0</v>
      </c>
      <c r="F1125" s="2141"/>
      <c r="G1125" s="2670"/>
      <c r="H1125" s="2143" t="e">
        <f t="shared" si="68"/>
        <v>#DIV/0!</v>
      </c>
    </row>
    <row r="1126" spans="1:10" s="1370" customFormat="1" ht="17.100000000000001" customHeight="1">
      <c r="A1126" s="1408"/>
      <c r="B1126" s="1751"/>
      <c r="C1126" s="2668" t="s">
        <v>1000</v>
      </c>
      <c r="D1126" s="2669" t="s">
        <v>712</v>
      </c>
      <c r="E1126" s="2328">
        <v>16600</v>
      </c>
      <c r="F1126" s="2141">
        <v>25100</v>
      </c>
      <c r="G1126" s="2670">
        <v>10815</v>
      </c>
      <c r="H1126" s="2143">
        <f t="shared" si="68"/>
        <v>0.43087649402390438</v>
      </c>
      <c r="J1126" s="1370" t="s">
        <v>1047</v>
      </c>
    </row>
    <row r="1127" spans="1:10" s="1370" customFormat="1" ht="17.100000000000001" customHeight="1">
      <c r="A1127" s="1408"/>
      <c r="B1127" s="1751"/>
      <c r="C1127" s="2668" t="s">
        <v>1001</v>
      </c>
      <c r="D1127" s="2669" t="s">
        <v>712</v>
      </c>
      <c r="E1127" s="2328">
        <v>2929</v>
      </c>
      <c r="F1127" s="2141">
        <v>4429</v>
      </c>
      <c r="G1127" s="2670">
        <v>1908</v>
      </c>
      <c r="H1127" s="2143">
        <f t="shared" si="68"/>
        <v>0.43079701964326034</v>
      </c>
      <c r="J1127" s="1370" t="s">
        <v>1047</v>
      </c>
    </row>
    <row r="1128" spans="1:10" s="1370" customFormat="1" ht="17.100000000000001" hidden="1" customHeight="1">
      <c r="A1128" s="1408"/>
      <c r="B1128" s="1751"/>
      <c r="C1128" s="2668" t="s">
        <v>781</v>
      </c>
      <c r="D1128" s="2669" t="s">
        <v>714</v>
      </c>
      <c r="E1128" s="2328">
        <v>0</v>
      </c>
      <c r="F1128" s="2141"/>
      <c r="G1128" s="2670"/>
      <c r="H1128" s="2143" t="e">
        <f t="shared" si="68"/>
        <v>#DIV/0!</v>
      </c>
    </row>
    <row r="1129" spans="1:10" s="1370" customFormat="1" ht="17.100000000000001" hidden="1" customHeight="1" thickBot="1">
      <c r="A1129" s="1408"/>
      <c r="B1129" s="1751"/>
      <c r="C1129" s="2668" t="s">
        <v>782</v>
      </c>
      <c r="D1129" s="2669" t="s">
        <v>714</v>
      </c>
      <c r="E1129" s="2328">
        <v>0</v>
      </c>
      <c r="F1129" s="2141"/>
      <c r="G1129" s="2670"/>
      <c r="H1129" s="2143" t="e">
        <f t="shared" si="68"/>
        <v>#DIV/0!</v>
      </c>
    </row>
    <row r="1130" spans="1:10" s="1370" customFormat="1" ht="15">
      <c r="A1130" s="1408"/>
      <c r="B1130" s="1751"/>
      <c r="C1130" s="2700" t="s">
        <v>717</v>
      </c>
      <c r="D1130" s="2701" t="s">
        <v>718</v>
      </c>
      <c r="E1130" s="2328">
        <v>0</v>
      </c>
      <c r="F1130" s="2141">
        <v>445339</v>
      </c>
      <c r="G1130" s="2670">
        <v>0</v>
      </c>
      <c r="H1130" s="2143">
        <f t="shared" si="68"/>
        <v>0</v>
      </c>
    </row>
    <row r="1131" spans="1:10" s="1370" customFormat="1" ht="17.100000000000001" customHeight="1">
      <c r="A1131" s="1429"/>
      <c r="B1131" s="1751"/>
      <c r="C1131" s="2697" t="s">
        <v>833</v>
      </c>
      <c r="D1131" s="2673" t="s">
        <v>718</v>
      </c>
      <c r="E1131" s="2662">
        <v>753296</v>
      </c>
      <c r="F1131" s="1451">
        <v>1654682</v>
      </c>
      <c r="G1131" s="2617">
        <v>65060</v>
      </c>
      <c r="H1131" s="1453">
        <f t="shared" si="68"/>
        <v>3.9318733146308474E-2</v>
      </c>
    </row>
    <row r="1132" spans="1:10" s="1370" customFormat="1" ht="17.100000000000001" customHeight="1">
      <c r="A1132" s="1408"/>
      <c r="B1132" s="1751"/>
      <c r="C1132" s="2668" t="s">
        <v>783</v>
      </c>
      <c r="D1132" s="2669" t="s">
        <v>718</v>
      </c>
      <c r="E1132" s="2328">
        <v>313729</v>
      </c>
      <c r="F1132" s="2141">
        <v>1102276</v>
      </c>
      <c r="G1132" s="2670">
        <f>2669433+34680+35870+675000</f>
        <v>3414983</v>
      </c>
      <c r="H1132" s="2143">
        <f t="shared" si="68"/>
        <v>3.0981197086755041</v>
      </c>
      <c r="J1132" s="1370" t="s">
        <v>1048</v>
      </c>
    </row>
    <row r="1133" spans="1:10" s="1370" customFormat="1" ht="17.100000000000001" customHeight="1">
      <c r="A1133" s="1408"/>
      <c r="B1133" s="1751"/>
      <c r="C1133" s="2668" t="s">
        <v>784</v>
      </c>
      <c r="D1133" s="2669" t="s">
        <v>718</v>
      </c>
      <c r="E1133" s="2328">
        <v>149183</v>
      </c>
      <c r="F1133" s="2141">
        <v>262047</v>
      </c>
      <c r="G1133" s="2670">
        <f>3940+471076+6120+6330</f>
        <v>487466</v>
      </c>
      <c r="H1133" s="2143">
        <f t="shared" si="68"/>
        <v>1.860223547684194</v>
      </c>
      <c r="J1133" s="1370" t="s">
        <v>1049</v>
      </c>
    </row>
    <row r="1134" spans="1:10" s="1370" customFormat="1" ht="17.100000000000001" hidden="1" customHeight="1">
      <c r="A1134" s="1408"/>
      <c r="B1134" s="1751"/>
      <c r="C1134" s="2668" t="s">
        <v>1050</v>
      </c>
      <c r="D1134" s="2669" t="s">
        <v>720</v>
      </c>
      <c r="E1134" s="2328">
        <v>0</v>
      </c>
      <c r="F1134" s="2141"/>
      <c r="G1134" s="2670"/>
      <c r="H1134" s="2143" t="e">
        <f t="shared" si="68"/>
        <v>#DIV/0!</v>
      </c>
    </row>
    <row r="1135" spans="1:10" s="1370" customFormat="1" ht="17.100000000000001" customHeight="1">
      <c r="A1135" s="1408"/>
      <c r="B1135" s="1751"/>
      <c r="C1135" s="2668" t="s">
        <v>1004</v>
      </c>
      <c r="D1135" s="2669" t="s">
        <v>720</v>
      </c>
      <c r="E1135" s="2328">
        <v>1020</v>
      </c>
      <c r="F1135" s="2141">
        <v>9130</v>
      </c>
      <c r="G1135" s="2670">
        <f>1020+5000</f>
        <v>6020</v>
      </c>
      <c r="H1135" s="2143">
        <f t="shared" si="68"/>
        <v>0.65936473165388831</v>
      </c>
      <c r="J1135" s="1370" t="s">
        <v>1051</v>
      </c>
    </row>
    <row r="1136" spans="1:10" s="1370" customFormat="1" ht="17.100000000000001" customHeight="1">
      <c r="A1136" s="1429"/>
      <c r="B1136" s="1751"/>
      <c r="C1136" s="2698" t="s">
        <v>1052</v>
      </c>
      <c r="D1136" s="2699" t="s">
        <v>720</v>
      </c>
      <c r="E1136" s="2328">
        <v>180</v>
      </c>
      <c r="F1136" s="2141">
        <v>200</v>
      </c>
      <c r="G1136" s="2670">
        <v>180</v>
      </c>
      <c r="H1136" s="2143">
        <f t="shared" si="68"/>
        <v>0.9</v>
      </c>
      <c r="J1136" s="1370" t="s">
        <v>1047</v>
      </c>
    </row>
    <row r="1137" spans="1:10" s="1370" customFormat="1" ht="17.100000000000001" customHeight="1">
      <c r="A1137" s="1408"/>
      <c r="B1137" s="1751"/>
      <c r="C1137" s="2697" t="s">
        <v>902</v>
      </c>
      <c r="D1137" s="2673" t="s">
        <v>901</v>
      </c>
      <c r="E1137" s="2662">
        <v>850</v>
      </c>
      <c r="F1137" s="1451">
        <v>20850</v>
      </c>
      <c r="G1137" s="2617">
        <v>20000</v>
      </c>
      <c r="H1137" s="1453">
        <f t="shared" si="68"/>
        <v>0.95923261390887293</v>
      </c>
      <c r="J1137" s="1370" t="s">
        <v>1044</v>
      </c>
    </row>
    <row r="1138" spans="1:10" s="1370" customFormat="1" ht="17.100000000000001" customHeight="1">
      <c r="A1138" s="1408"/>
      <c r="B1138" s="1751"/>
      <c r="C1138" s="2668" t="s">
        <v>903</v>
      </c>
      <c r="D1138" s="2669" t="s">
        <v>901</v>
      </c>
      <c r="E1138" s="2328">
        <v>150</v>
      </c>
      <c r="F1138" s="2141">
        <v>150</v>
      </c>
      <c r="G1138" s="2670">
        <v>0</v>
      </c>
      <c r="H1138" s="2143">
        <f t="shared" si="68"/>
        <v>0</v>
      </c>
    </row>
    <row r="1139" spans="1:10" s="1370" customFormat="1" ht="17.100000000000001" hidden="1" customHeight="1">
      <c r="A1139" s="1408"/>
      <c r="B1139" s="1751"/>
      <c r="C1139" s="2668" t="s">
        <v>834</v>
      </c>
      <c r="D1139" s="2669" t="s">
        <v>722</v>
      </c>
      <c r="E1139" s="2328">
        <v>0</v>
      </c>
      <c r="F1139" s="2141"/>
      <c r="G1139" s="2670"/>
      <c r="H1139" s="2143" t="e">
        <f t="shared" si="68"/>
        <v>#DIV/0!</v>
      </c>
    </row>
    <row r="1140" spans="1:10" s="1370" customFormat="1" ht="17.100000000000001" hidden="1" customHeight="1">
      <c r="A1140" s="1408"/>
      <c r="B1140" s="1751"/>
      <c r="C1140" s="2668" t="s">
        <v>785</v>
      </c>
      <c r="D1140" s="2669" t="s">
        <v>722</v>
      </c>
      <c r="E1140" s="2328">
        <v>76500</v>
      </c>
      <c r="F1140" s="2141">
        <v>0</v>
      </c>
      <c r="G1140" s="2670">
        <v>0</v>
      </c>
      <c r="H1140" s="2143"/>
    </row>
    <row r="1141" spans="1:10" s="1370" customFormat="1" ht="17.100000000000001" hidden="1" customHeight="1">
      <c r="A1141" s="1408"/>
      <c r="B1141" s="1751"/>
      <c r="C1141" s="2668" t="s">
        <v>786</v>
      </c>
      <c r="D1141" s="2669" t="s">
        <v>722</v>
      </c>
      <c r="E1141" s="2328">
        <v>23500</v>
      </c>
      <c r="F1141" s="2141">
        <v>0</v>
      </c>
      <c r="G1141" s="2670">
        <v>0</v>
      </c>
      <c r="H1141" s="2143"/>
    </row>
    <row r="1142" spans="1:10" s="1370" customFormat="1" ht="27.75" customHeight="1">
      <c r="A1142" s="1408"/>
      <c r="B1142" s="1751"/>
      <c r="C1142" s="2668" t="s">
        <v>1007</v>
      </c>
      <c r="D1142" s="2669" t="s">
        <v>724</v>
      </c>
      <c r="E1142" s="2328">
        <v>11050</v>
      </c>
      <c r="F1142" s="2141">
        <v>11050</v>
      </c>
      <c r="G1142" s="2670">
        <v>12240</v>
      </c>
      <c r="H1142" s="2143">
        <f t="shared" ref="H1142:H1158" si="69">G1142/F1142</f>
        <v>1.1076923076923078</v>
      </c>
      <c r="J1142" s="1370" t="s">
        <v>1047</v>
      </c>
    </row>
    <row r="1143" spans="1:10" s="1370" customFormat="1" ht="29.25" customHeight="1">
      <c r="A1143" s="1408"/>
      <c r="B1143" s="1751"/>
      <c r="C1143" s="2668" t="s">
        <v>1008</v>
      </c>
      <c r="D1143" s="2669" t="s">
        <v>724</v>
      </c>
      <c r="E1143" s="2328">
        <v>1950</v>
      </c>
      <c r="F1143" s="2141">
        <v>1950</v>
      </c>
      <c r="G1143" s="2670">
        <v>2160</v>
      </c>
      <c r="H1143" s="2143">
        <f t="shared" si="69"/>
        <v>1.1076923076923078</v>
      </c>
      <c r="J1143" s="1370" t="s">
        <v>1047</v>
      </c>
    </row>
    <row r="1144" spans="1:10" s="1370" customFormat="1" ht="16.5" customHeight="1">
      <c r="A1144" s="1408"/>
      <c r="B1144" s="1751"/>
      <c r="C1144" s="2668" t="s">
        <v>835</v>
      </c>
      <c r="D1144" s="2669" t="s">
        <v>726</v>
      </c>
      <c r="E1144" s="2328">
        <v>10212</v>
      </c>
      <c r="F1144" s="2141">
        <v>11061</v>
      </c>
      <c r="G1144" s="2670">
        <v>942</v>
      </c>
      <c r="H1144" s="2143">
        <f t="shared" si="69"/>
        <v>8.5164090046107949E-2</v>
      </c>
    </row>
    <row r="1145" spans="1:10" s="1370" customFormat="1" ht="17.100000000000001" customHeight="1">
      <c r="A1145" s="1408"/>
      <c r="B1145" s="1751"/>
      <c r="C1145" s="2668" t="s">
        <v>787</v>
      </c>
      <c r="D1145" s="2669" t="s">
        <v>726</v>
      </c>
      <c r="E1145" s="2328">
        <v>9413</v>
      </c>
      <c r="F1145" s="2141">
        <v>22943</v>
      </c>
      <c r="G1145" s="2670">
        <f>2718+850+11000</f>
        <v>14568</v>
      </c>
      <c r="H1145" s="2143">
        <f t="shared" si="69"/>
        <v>0.63496491304537328</v>
      </c>
      <c r="J1145" s="1370" t="s">
        <v>1040</v>
      </c>
    </row>
    <row r="1146" spans="1:10" s="1370" customFormat="1" ht="17.100000000000001" customHeight="1">
      <c r="A1146" s="1408"/>
      <c r="B1146" s="1751"/>
      <c r="C1146" s="2668" t="s">
        <v>788</v>
      </c>
      <c r="D1146" s="2669" t="s">
        <v>726</v>
      </c>
      <c r="E1146" s="2328">
        <v>3971</v>
      </c>
      <c r="F1146" s="2141">
        <v>4996</v>
      </c>
      <c r="G1146" s="2670">
        <f>58+480+150</f>
        <v>688</v>
      </c>
      <c r="H1146" s="2143">
        <f t="shared" si="69"/>
        <v>0.13771016813450759</v>
      </c>
      <c r="J1146" s="1370" t="s">
        <v>1041</v>
      </c>
    </row>
    <row r="1147" spans="1:10" s="1370" customFormat="1" ht="17.100000000000001" customHeight="1">
      <c r="A1147" s="1408"/>
      <c r="B1147" s="1751"/>
      <c r="C1147" s="2668" t="s">
        <v>904</v>
      </c>
      <c r="D1147" s="2669" t="s">
        <v>866</v>
      </c>
      <c r="E1147" s="2328">
        <v>2125</v>
      </c>
      <c r="F1147" s="2141">
        <v>12125</v>
      </c>
      <c r="G1147" s="2670">
        <f>1275+11000</f>
        <v>12275</v>
      </c>
      <c r="H1147" s="2143">
        <f t="shared" si="69"/>
        <v>1.0123711340206185</v>
      </c>
      <c r="J1147" s="1370" t="s">
        <v>1042</v>
      </c>
    </row>
    <row r="1148" spans="1:10" s="1370" customFormat="1" ht="17.100000000000001" customHeight="1">
      <c r="A1148" s="1408"/>
      <c r="B1148" s="1751"/>
      <c r="C1148" s="2668" t="s">
        <v>905</v>
      </c>
      <c r="D1148" s="2669" t="s">
        <v>866</v>
      </c>
      <c r="E1148" s="2328">
        <v>375</v>
      </c>
      <c r="F1148" s="2141">
        <v>375</v>
      </c>
      <c r="G1148" s="2670">
        <v>225</v>
      </c>
      <c r="H1148" s="2143">
        <f t="shared" si="69"/>
        <v>0.6</v>
      </c>
      <c r="J1148" s="1370" t="s">
        <v>826</v>
      </c>
    </row>
    <row r="1149" spans="1:10" s="1370" customFormat="1" ht="17.100000000000001" hidden="1" customHeight="1">
      <c r="A1149" s="1408"/>
      <c r="B1149" s="1751"/>
      <c r="C1149" s="2668" t="s">
        <v>1053</v>
      </c>
      <c r="D1149" s="2669" t="s">
        <v>728</v>
      </c>
      <c r="E1149" s="2328">
        <v>0</v>
      </c>
      <c r="F1149" s="2141"/>
      <c r="G1149" s="2670"/>
      <c r="H1149" s="2143" t="e">
        <f t="shared" si="69"/>
        <v>#DIV/0!</v>
      </c>
    </row>
    <row r="1150" spans="1:10" s="1370" customFormat="1" ht="17.100000000000001" hidden="1" customHeight="1">
      <c r="A1150" s="1408"/>
      <c r="B1150" s="1751"/>
      <c r="C1150" s="2668" t="s">
        <v>790</v>
      </c>
      <c r="D1150" s="2669" t="s">
        <v>728</v>
      </c>
      <c r="E1150" s="2328">
        <v>0</v>
      </c>
      <c r="F1150" s="2141"/>
      <c r="G1150" s="2670"/>
      <c r="H1150" s="2143" t="e">
        <f t="shared" si="69"/>
        <v>#DIV/0!</v>
      </c>
    </row>
    <row r="1151" spans="1:10" s="1370" customFormat="1" ht="17.100000000000001" customHeight="1">
      <c r="A1151" s="1408"/>
      <c r="B1151" s="1751"/>
      <c r="C1151" s="2668" t="s">
        <v>1009</v>
      </c>
      <c r="D1151" s="2669" t="s">
        <v>736</v>
      </c>
      <c r="E1151" s="2328">
        <v>425</v>
      </c>
      <c r="F1151" s="2141">
        <v>555</v>
      </c>
      <c r="G1151" s="2670">
        <v>0</v>
      </c>
      <c r="H1151" s="2143">
        <f t="shared" si="69"/>
        <v>0</v>
      </c>
    </row>
    <row r="1152" spans="1:10" s="1370" customFormat="1" ht="17.100000000000001" customHeight="1">
      <c r="A1152" s="1408"/>
      <c r="B1152" s="1751"/>
      <c r="C1152" s="2702" t="s">
        <v>1010</v>
      </c>
      <c r="D1152" s="2669" t="s">
        <v>736</v>
      </c>
      <c r="E1152" s="2328">
        <v>75</v>
      </c>
      <c r="F1152" s="2141">
        <v>99</v>
      </c>
      <c r="G1152" s="2670">
        <v>0</v>
      </c>
      <c r="H1152" s="2143">
        <f t="shared" si="69"/>
        <v>0</v>
      </c>
    </row>
    <row r="1153" spans="1:10" s="1370" customFormat="1" ht="15.75" thickBot="1">
      <c r="A1153" s="1516"/>
      <c r="B1153" s="2703"/>
      <c r="C1153" s="2704" t="s">
        <v>954</v>
      </c>
      <c r="D1153" s="2705" t="s">
        <v>955</v>
      </c>
      <c r="E1153" s="2616">
        <v>0</v>
      </c>
      <c r="F1153" s="1538">
        <v>1507</v>
      </c>
      <c r="G1153" s="2146">
        <v>0</v>
      </c>
      <c r="H1153" s="1540">
        <f t="shared" si="69"/>
        <v>0</v>
      </c>
    </row>
    <row r="1154" spans="1:10" s="1370" customFormat="1" ht="15.75" customHeight="1">
      <c r="A1154" s="1585"/>
      <c r="B1154" s="2706"/>
      <c r="C1154" s="2707" t="s">
        <v>836</v>
      </c>
      <c r="D1154" s="2708" t="s">
        <v>740</v>
      </c>
      <c r="E1154" s="2679">
        <v>0</v>
      </c>
      <c r="F1154" s="1528">
        <v>21681</v>
      </c>
      <c r="G1154" s="1587">
        <v>0</v>
      </c>
      <c r="H1154" s="1530">
        <f t="shared" si="69"/>
        <v>0</v>
      </c>
    </row>
    <row r="1155" spans="1:10" s="1370" customFormat="1" ht="15" customHeight="1">
      <c r="A1155" s="1408"/>
      <c r="B1155" s="1751"/>
      <c r="C1155" s="2709" t="s">
        <v>793</v>
      </c>
      <c r="D1155" s="2687" t="s">
        <v>1021</v>
      </c>
      <c r="E1155" s="2328">
        <v>20889</v>
      </c>
      <c r="F1155" s="2141">
        <v>65019</v>
      </c>
      <c r="G1155" s="2670">
        <f>1853+850+10928</f>
        <v>13631</v>
      </c>
      <c r="H1155" s="2143">
        <f t="shared" si="69"/>
        <v>0.20964641104907797</v>
      </c>
      <c r="J1155" s="1370" t="s">
        <v>1040</v>
      </c>
    </row>
    <row r="1156" spans="1:10" s="1370" customFormat="1" ht="15" customHeight="1">
      <c r="A1156" s="2710"/>
      <c r="B1156" s="1751"/>
      <c r="C1156" s="2711" t="s">
        <v>794</v>
      </c>
      <c r="D1156" s="2712" t="s">
        <v>1021</v>
      </c>
      <c r="E1156" s="2328">
        <v>4195</v>
      </c>
      <c r="F1156" s="2141">
        <v>13901</v>
      </c>
      <c r="G1156" s="2670">
        <f>327+150</f>
        <v>477</v>
      </c>
      <c r="H1156" s="2143">
        <f t="shared" si="69"/>
        <v>3.4314078123875977E-2</v>
      </c>
      <c r="J1156" s="1370" t="s">
        <v>1041</v>
      </c>
    </row>
    <row r="1157" spans="1:10" s="1370" customFormat="1" ht="17.100000000000001" customHeight="1">
      <c r="A1157" s="2710"/>
      <c r="B1157" s="1751"/>
      <c r="C1157" s="2711" t="s">
        <v>795</v>
      </c>
      <c r="D1157" s="2712" t="s">
        <v>703</v>
      </c>
      <c r="E1157" s="2328">
        <v>9783</v>
      </c>
      <c r="F1157" s="2141">
        <v>14871</v>
      </c>
      <c r="G1157" s="2670">
        <f>9941+4000</f>
        <v>13941</v>
      </c>
      <c r="H1157" s="2143">
        <f t="shared" si="69"/>
        <v>0.93746217470244098</v>
      </c>
      <c r="J1157" s="1370" t="s">
        <v>1051</v>
      </c>
    </row>
    <row r="1158" spans="1:10" s="1370" customFormat="1" ht="17.100000000000001" customHeight="1">
      <c r="A1158" s="2710"/>
      <c r="B1158" s="1751"/>
      <c r="C1158" s="2711" t="s">
        <v>796</v>
      </c>
      <c r="D1158" s="2713" t="s">
        <v>703</v>
      </c>
      <c r="E1158" s="2328">
        <v>1742</v>
      </c>
      <c r="F1158" s="2141">
        <v>1778</v>
      </c>
      <c r="G1158" s="2670">
        <v>1754</v>
      </c>
      <c r="H1158" s="2143">
        <f t="shared" si="69"/>
        <v>0.98650168728908882</v>
      </c>
      <c r="J1158" s="1370" t="s">
        <v>1047</v>
      </c>
    </row>
    <row r="1159" spans="1:10" s="1370" customFormat="1" ht="17.100000000000001" customHeight="1">
      <c r="A1159" s="2710"/>
      <c r="B1159" s="1751"/>
      <c r="C1159" s="2714"/>
      <c r="D1159" s="2686"/>
      <c r="E1159" s="2328"/>
      <c r="F1159" s="2141"/>
      <c r="G1159" s="2670"/>
      <c r="H1159" s="2143"/>
    </row>
    <row r="1160" spans="1:10" s="1370" customFormat="1" ht="17.100000000000001" customHeight="1">
      <c r="A1160" s="2710"/>
      <c r="B1160" s="1751"/>
      <c r="C1160" s="4760" t="s">
        <v>744</v>
      </c>
      <c r="D1160" s="4761"/>
      <c r="E1160" s="2715">
        <f>SUM(E1161)</f>
        <v>29159408</v>
      </c>
      <c r="F1160" s="2716">
        <f>SUM(F1161)</f>
        <v>28125811</v>
      </c>
      <c r="G1160" s="2717">
        <f>SUM(G1161)</f>
        <v>15566214</v>
      </c>
      <c r="H1160" s="2226">
        <f t="shared" ref="H1160:H1180" si="70">G1160/F1160</f>
        <v>0.55344942764494864</v>
      </c>
    </row>
    <row r="1161" spans="1:10" s="1370" customFormat="1" ht="17.100000000000001" customHeight="1">
      <c r="A1161" s="2710"/>
      <c r="B1161" s="1751"/>
      <c r="C1161" s="4762" t="s">
        <v>745</v>
      </c>
      <c r="D1161" s="4763"/>
      <c r="E1161" s="2328">
        <f>SUM(E1162:E1173)</f>
        <v>29159408</v>
      </c>
      <c r="F1161" s="2690">
        <f>SUM(F1162:F1176)</f>
        <v>28125811</v>
      </c>
      <c r="G1161" s="2690">
        <f>SUM(G1162:G1176)</f>
        <v>15566214</v>
      </c>
      <c r="H1161" s="2143">
        <f t="shared" si="70"/>
        <v>0.55344942764494864</v>
      </c>
    </row>
    <row r="1162" spans="1:10" s="1370" customFormat="1" ht="17.100000000000001" customHeight="1">
      <c r="A1162" s="2710"/>
      <c r="B1162" s="1751"/>
      <c r="C1162" s="2668" t="s">
        <v>755</v>
      </c>
      <c r="D1162" s="2669" t="s">
        <v>747</v>
      </c>
      <c r="E1162" s="2328">
        <v>1499035</v>
      </c>
      <c r="F1162" s="2141">
        <v>880507</v>
      </c>
      <c r="G1162" s="2670">
        <v>302500</v>
      </c>
      <c r="H1162" s="2143">
        <f t="shared" si="70"/>
        <v>0.34355206716130593</v>
      </c>
      <c r="J1162" s="1370" t="s">
        <v>809</v>
      </c>
    </row>
    <row r="1163" spans="1:10" s="1370" customFormat="1" ht="17.100000000000001" customHeight="1">
      <c r="A1163" s="2710"/>
      <c r="B1163" s="1751"/>
      <c r="C1163" s="2668" t="s">
        <v>855</v>
      </c>
      <c r="D1163" s="2718" t="s">
        <v>747</v>
      </c>
      <c r="E1163" s="2328">
        <v>79501</v>
      </c>
      <c r="F1163" s="2141">
        <v>25113</v>
      </c>
      <c r="G1163" s="2670">
        <v>55651</v>
      </c>
      <c r="H1163" s="2143">
        <f t="shared" si="70"/>
        <v>2.2160235734480151</v>
      </c>
      <c r="J1163" s="1370" t="s">
        <v>940</v>
      </c>
    </row>
    <row r="1164" spans="1:10" s="1370" customFormat="1" ht="17.100000000000001" customHeight="1">
      <c r="A1164" s="2710"/>
      <c r="B1164" s="1751"/>
      <c r="C1164" s="2719" t="s">
        <v>870</v>
      </c>
      <c r="D1164" s="2669" t="s">
        <v>747</v>
      </c>
      <c r="E1164" s="2328">
        <v>20836406</v>
      </c>
      <c r="F1164" s="2141">
        <v>20734510</v>
      </c>
      <c r="G1164" s="2670">
        <v>12219090</v>
      </c>
      <c r="H1164" s="2143">
        <f t="shared" si="70"/>
        <v>0.58931173198691456</v>
      </c>
      <c r="J1164" s="1370" t="s">
        <v>823</v>
      </c>
    </row>
    <row r="1165" spans="1:10" s="1370" customFormat="1" ht="17.100000000000001" customHeight="1">
      <c r="A1165" s="2710"/>
      <c r="B1165" s="1751"/>
      <c r="C1165" s="2719" t="s">
        <v>856</v>
      </c>
      <c r="D1165" s="2669" t="s">
        <v>747</v>
      </c>
      <c r="E1165" s="2328">
        <v>4092041</v>
      </c>
      <c r="F1165" s="2141">
        <v>4182827</v>
      </c>
      <c r="G1165" s="2670">
        <f>3371+2156311</f>
        <v>2159682</v>
      </c>
      <c r="H1165" s="2143">
        <f t="shared" si="70"/>
        <v>0.51632113878962715</v>
      </c>
      <c r="J1165" s="1370" t="s">
        <v>1006</v>
      </c>
    </row>
    <row r="1166" spans="1:10" s="1370" customFormat="1" ht="17.100000000000001" hidden="1" customHeight="1">
      <c r="A1166" s="2710"/>
      <c r="B1166" s="1751"/>
      <c r="C1166" s="2668" t="s">
        <v>838</v>
      </c>
      <c r="D1166" s="2669" t="s">
        <v>801</v>
      </c>
      <c r="E1166" s="2328">
        <v>0</v>
      </c>
      <c r="F1166" s="2141"/>
      <c r="G1166" s="2670"/>
      <c r="H1166" s="2143" t="e">
        <f t="shared" si="70"/>
        <v>#DIV/0!</v>
      </c>
    </row>
    <row r="1167" spans="1:10" s="1370" customFormat="1" ht="17.100000000000001" hidden="1" customHeight="1" thickBot="1">
      <c r="A1167" s="2710"/>
      <c r="B1167" s="1751"/>
      <c r="C1167" s="2668" t="s">
        <v>871</v>
      </c>
      <c r="D1167" s="2669" t="s">
        <v>801</v>
      </c>
      <c r="E1167" s="2328">
        <v>0</v>
      </c>
      <c r="F1167" s="2141"/>
      <c r="G1167" s="2670"/>
      <c r="H1167" s="2143" t="e">
        <f t="shared" si="70"/>
        <v>#DIV/0!</v>
      </c>
    </row>
    <row r="1168" spans="1:10" s="1370" customFormat="1" ht="17.100000000000001" hidden="1" customHeight="1" thickBot="1">
      <c r="A1168" s="2710"/>
      <c r="B1168" s="2720"/>
      <c r="C1168" s="2698" t="s">
        <v>853</v>
      </c>
      <c r="D1168" s="2699" t="s">
        <v>801</v>
      </c>
      <c r="E1168" s="2328">
        <v>0</v>
      </c>
      <c r="F1168" s="2141"/>
      <c r="G1168" s="2670"/>
      <c r="H1168" s="2143" t="e">
        <f t="shared" si="70"/>
        <v>#DIV/0!</v>
      </c>
    </row>
    <row r="1169" spans="1:10" s="1370" customFormat="1" ht="51" customHeight="1">
      <c r="A1169" s="2710"/>
      <c r="B1169" s="2720"/>
      <c r="C1169" s="2195" t="s">
        <v>839</v>
      </c>
      <c r="D1169" s="2240" t="s">
        <v>857</v>
      </c>
      <c r="E1169" s="2328">
        <v>79501</v>
      </c>
      <c r="F1169" s="2141">
        <v>32689</v>
      </c>
      <c r="G1169" s="2670">
        <v>55651</v>
      </c>
      <c r="H1169" s="2143">
        <f t="shared" si="70"/>
        <v>1.7024381290342316</v>
      </c>
      <c r="J1169" s="1370" t="s">
        <v>940</v>
      </c>
    </row>
    <row r="1170" spans="1:10" s="1370" customFormat="1" ht="53.25" customHeight="1">
      <c r="A1170" s="2710"/>
      <c r="B1170" s="2720"/>
      <c r="C1170" s="2721" t="s">
        <v>381</v>
      </c>
      <c r="D1170" s="2673" t="s">
        <v>857</v>
      </c>
      <c r="E1170" s="2722">
        <v>350550</v>
      </c>
      <c r="F1170" s="1451">
        <v>1060959</v>
      </c>
      <c r="G1170" s="2617">
        <v>0</v>
      </c>
      <c r="H1170" s="1453">
        <f t="shared" si="70"/>
        <v>0</v>
      </c>
    </row>
    <row r="1171" spans="1:10" s="1370" customFormat="1" ht="53.25" customHeight="1">
      <c r="A1171" s="2710"/>
      <c r="B1171" s="2720"/>
      <c r="C1171" s="2697" t="s">
        <v>841</v>
      </c>
      <c r="D1171" s="2673" t="s">
        <v>857</v>
      </c>
      <c r="E1171" s="2662">
        <v>66677</v>
      </c>
      <c r="F1171" s="2141">
        <v>189207</v>
      </c>
      <c r="G1171" s="2670">
        <v>3371</v>
      </c>
      <c r="H1171" s="2143">
        <f t="shared" si="70"/>
        <v>1.781646556417046E-2</v>
      </c>
      <c r="J1171" s="1370" t="s">
        <v>940</v>
      </c>
    </row>
    <row r="1172" spans="1:10" s="1370" customFormat="1" ht="53.25" customHeight="1">
      <c r="A1172" s="2710"/>
      <c r="B1172" s="2720"/>
      <c r="C1172" s="2668" t="s">
        <v>385</v>
      </c>
      <c r="D1172" s="2723" t="s">
        <v>842</v>
      </c>
      <c r="E1172" s="2328">
        <v>1033512</v>
      </c>
      <c r="F1172" s="2141">
        <v>310054</v>
      </c>
      <c r="G1172" s="2670">
        <v>723458</v>
      </c>
      <c r="H1172" s="2143">
        <f t="shared" si="70"/>
        <v>2.3333290330071534</v>
      </c>
      <c r="J1172" s="1370" t="s">
        <v>940</v>
      </c>
    </row>
    <row r="1173" spans="1:10" s="1370" customFormat="1" ht="53.25" customHeight="1">
      <c r="A1173" s="2710"/>
      <c r="B1173" s="2720"/>
      <c r="C1173" s="2668" t="s">
        <v>449</v>
      </c>
      <c r="D1173" s="2723" t="s">
        <v>842</v>
      </c>
      <c r="E1173" s="2328">
        <v>1122185</v>
      </c>
      <c r="F1173" s="2141">
        <v>709945</v>
      </c>
      <c r="G1173" s="2670">
        <v>43810</v>
      </c>
      <c r="H1173" s="2143">
        <f t="shared" si="70"/>
        <v>6.1709005627196473E-2</v>
      </c>
      <c r="J1173" s="1370" t="s">
        <v>940</v>
      </c>
    </row>
    <row r="1174" spans="1:10" s="1370" customFormat="1" ht="38.25" hidden="1" customHeight="1">
      <c r="A1174" s="2710"/>
      <c r="B1174" s="2720"/>
      <c r="C1174" s="2668" t="s">
        <v>975</v>
      </c>
      <c r="D1174" s="2669" t="s">
        <v>976</v>
      </c>
      <c r="E1174" s="2328">
        <v>0</v>
      </c>
      <c r="F1174" s="2141"/>
      <c r="G1174" s="2670"/>
      <c r="H1174" s="2143" t="e">
        <f t="shared" si="70"/>
        <v>#DIV/0!</v>
      </c>
    </row>
    <row r="1175" spans="1:10" s="1370" customFormat="1" ht="51" hidden="1" customHeight="1">
      <c r="A1175" s="2710"/>
      <c r="B1175" s="2720"/>
      <c r="C1175" s="2724" t="s">
        <v>566</v>
      </c>
      <c r="D1175" s="2686" t="s">
        <v>757</v>
      </c>
      <c r="E1175" s="2328">
        <v>0</v>
      </c>
      <c r="F1175" s="2141"/>
      <c r="G1175" s="2670"/>
      <c r="H1175" s="2143" t="e">
        <f t="shared" si="70"/>
        <v>#DIV/0!</v>
      </c>
    </row>
    <row r="1176" spans="1:10" s="1370" customFormat="1" ht="28.5" customHeight="1">
      <c r="A1176" s="2710"/>
      <c r="B1176" s="2720"/>
      <c r="C1176" s="2725" t="s">
        <v>1054</v>
      </c>
      <c r="D1176" s="2712" t="s">
        <v>978</v>
      </c>
      <c r="E1176" s="2328">
        <v>0</v>
      </c>
      <c r="F1176" s="2141">
        <v>0</v>
      </c>
      <c r="G1176" s="2670">
        <v>3001</v>
      </c>
      <c r="H1176" s="2143"/>
      <c r="J1176" s="1370" t="s">
        <v>1044</v>
      </c>
    </row>
    <row r="1177" spans="1:10" s="1370" customFormat="1" ht="24.75" hidden="1" customHeight="1">
      <c r="A1177" s="2710"/>
      <c r="B1177" s="2720"/>
      <c r="C1177" s="2725" t="s">
        <v>567</v>
      </c>
      <c r="D1177" s="2713" t="s">
        <v>978</v>
      </c>
      <c r="E1177" s="2328">
        <v>0</v>
      </c>
      <c r="F1177" s="2141"/>
      <c r="G1177" s="2670"/>
      <c r="H1177" s="2143" t="e">
        <f t="shared" si="70"/>
        <v>#DIV/0!</v>
      </c>
    </row>
    <row r="1178" spans="1:10" s="1370" customFormat="1" ht="15" hidden="1" customHeight="1">
      <c r="A1178" s="2710"/>
      <c r="B1178" s="2720"/>
      <c r="C1178" s="4746"/>
      <c r="D1178" s="4747"/>
      <c r="E1178" s="2328"/>
      <c r="F1178" s="2141"/>
      <c r="G1178" s="2670"/>
      <c r="H1178" s="2143" t="e">
        <f t="shared" si="70"/>
        <v>#DIV/0!</v>
      </c>
    </row>
    <row r="1179" spans="1:10" s="1370" customFormat="1" ht="15" hidden="1" customHeight="1">
      <c r="A1179" s="2710"/>
      <c r="B1179" s="2720"/>
      <c r="C1179" s="4748" t="s">
        <v>892</v>
      </c>
      <c r="D1179" s="4749"/>
      <c r="E1179" s="2328">
        <v>0</v>
      </c>
      <c r="F1179" s="2141"/>
      <c r="G1179" s="2670"/>
      <c r="H1179" s="2143" t="e">
        <f t="shared" si="70"/>
        <v>#DIV/0!</v>
      </c>
    </row>
    <row r="1180" spans="1:10" s="1370" customFormat="1" ht="38.25" hidden="1" customHeight="1">
      <c r="A1180" s="2710"/>
      <c r="B1180" s="2720"/>
      <c r="C1180" s="2726" t="s">
        <v>893</v>
      </c>
      <c r="D1180" s="2712" t="s">
        <v>894</v>
      </c>
      <c r="E1180" s="2328">
        <v>0</v>
      </c>
      <c r="F1180" s="2141"/>
      <c r="G1180" s="2670"/>
      <c r="H1180" s="2143" t="e">
        <f t="shared" si="70"/>
        <v>#DIV/0!</v>
      </c>
    </row>
    <row r="1181" spans="1:10" s="1370" customFormat="1" ht="18" customHeight="1">
      <c r="A1181" s="2710"/>
      <c r="B1181" s="2720"/>
      <c r="C1181" s="1408"/>
      <c r="D1181" s="2109"/>
      <c r="E1181" s="2328"/>
      <c r="F1181" s="2141"/>
      <c r="G1181" s="2670"/>
      <c r="H1181" s="2143"/>
    </row>
    <row r="1182" spans="1:10" s="1370" customFormat="1" ht="21" customHeight="1">
      <c r="A1182" s="2710"/>
      <c r="B1182" s="2720"/>
      <c r="C1182" s="4750" t="s">
        <v>758</v>
      </c>
      <c r="D1182" s="4751"/>
      <c r="E1182" s="2727">
        <f>SUM(E1183:E1194)</f>
        <v>27824810</v>
      </c>
      <c r="F1182" s="2728">
        <f>SUM(F1183:F1196)</f>
        <v>26554136</v>
      </c>
      <c r="G1182" s="2728">
        <f>SUM(G1183:G1196)</f>
        <v>15263714</v>
      </c>
      <c r="H1182" s="2153">
        <f>G1182/F1182</f>
        <v>0.57481493655075055</v>
      </c>
      <c r="J1182" s="1370" t="s">
        <v>940</v>
      </c>
    </row>
    <row r="1183" spans="1:10" s="1370" customFormat="1" ht="18" hidden="1" customHeight="1">
      <c r="A1183" s="1408"/>
      <c r="B1183" s="2720"/>
      <c r="C1183" s="2729" t="s">
        <v>755</v>
      </c>
      <c r="D1183" s="2730" t="s">
        <v>747</v>
      </c>
      <c r="E1183" s="2328">
        <v>1224035</v>
      </c>
      <c r="F1183" s="2141">
        <v>0</v>
      </c>
      <c r="G1183" s="2670">
        <v>0</v>
      </c>
      <c r="H1183" s="2143"/>
    </row>
    <row r="1184" spans="1:10" s="1370" customFormat="1" ht="18" customHeight="1">
      <c r="A1184" s="1408"/>
      <c r="B1184" s="2720"/>
      <c r="C1184" s="2668" t="s">
        <v>855</v>
      </c>
      <c r="D1184" s="2718" t="s">
        <v>747</v>
      </c>
      <c r="E1184" s="2328">
        <v>79501</v>
      </c>
      <c r="F1184" s="2141">
        <v>25113</v>
      </c>
      <c r="G1184" s="2670">
        <v>55651</v>
      </c>
      <c r="H1184" s="2143">
        <f t="shared" ref="H1184:H1228" si="71">G1184/F1184</f>
        <v>2.2160235734480151</v>
      </c>
    </row>
    <row r="1185" spans="1:10" s="1370" customFormat="1" ht="17.100000000000001" customHeight="1">
      <c r="A1185" s="1408"/>
      <c r="B1185" s="2720"/>
      <c r="C1185" s="2691" t="s">
        <v>870</v>
      </c>
      <c r="D1185" s="2731" t="s">
        <v>747</v>
      </c>
      <c r="E1185" s="2693">
        <v>20836406</v>
      </c>
      <c r="F1185" s="2141">
        <v>20734510</v>
      </c>
      <c r="G1185" s="2696">
        <v>12219090</v>
      </c>
      <c r="H1185" s="2143">
        <f t="shared" si="71"/>
        <v>0.58931173198691456</v>
      </c>
      <c r="J1185" s="1370" t="s">
        <v>823</v>
      </c>
    </row>
    <row r="1186" spans="1:10" s="1370" customFormat="1" ht="17.100000000000001" customHeight="1">
      <c r="A1186" s="1408"/>
      <c r="B1186" s="2720"/>
      <c r="C1186" s="2691" t="s">
        <v>856</v>
      </c>
      <c r="D1186" s="2731" t="s">
        <v>747</v>
      </c>
      <c r="E1186" s="2693">
        <v>4092041</v>
      </c>
      <c r="F1186" s="2141">
        <v>4182827</v>
      </c>
      <c r="G1186" s="2696">
        <f>3371+2156311</f>
        <v>2159682</v>
      </c>
      <c r="H1186" s="2143">
        <f t="shared" si="71"/>
        <v>0.51632113878962715</v>
      </c>
      <c r="J1186" s="1370" t="s">
        <v>823</v>
      </c>
    </row>
    <row r="1187" spans="1:10" s="1370" customFormat="1" ht="17.100000000000001" hidden="1" customHeight="1">
      <c r="A1187" s="1408"/>
      <c r="B1187" s="2720"/>
      <c r="C1187" s="2732" t="s">
        <v>838</v>
      </c>
      <c r="D1187" s="2673" t="s">
        <v>801</v>
      </c>
      <c r="E1187" s="2693">
        <v>0</v>
      </c>
      <c r="F1187" s="2141"/>
      <c r="G1187" s="2696"/>
      <c r="H1187" s="2143" t="e">
        <f t="shared" si="71"/>
        <v>#DIV/0!</v>
      </c>
    </row>
    <row r="1188" spans="1:10" s="1370" customFormat="1" ht="17.100000000000001" hidden="1" customHeight="1">
      <c r="A1188" s="1408"/>
      <c r="B1188" s="2720"/>
      <c r="C1188" s="2733" t="s">
        <v>871</v>
      </c>
      <c r="D1188" s="2734" t="s">
        <v>801</v>
      </c>
      <c r="E1188" s="2693">
        <v>0</v>
      </c>
      <c r="F1188" s="2141"/>
      <c r="G1188" s="2735"/>
      <c r="H1188" s="2143" t="e">
        <f t="shared" si="71"/>
        <v>#DIV/0!</v>
      </c>
    </row>
    <row r="1189" spans="1:10" s="1370" customFormat="1" ht="17.100000000000001" hidden="1" customHeight="1">
      <c r="A1189" s="1408"/>
      <c r="B1189" s="2720"/>
      <c r="C1189" s="2736" t="s">
        <v>853</v>
      </c>
      <c r="D1189" s="2734" t="s">
        <v>801</v>
      </c>
      <c r="E1189" s="2693">
        <v>0</v>
      </c>
      <c r="F1189" s="2141"/>
      <c r="G1189" s="2735"/>
      <c r="H1189" s="2143" t="e">
        <f t="shared" si="71"/>
        <v>#DIV/0!</v>
      </c>
    </row>
    <row r="1190" spans="1:10" s="1370" customFormat="1" ht="54" customHeight="1">
      <c r="A1190" s="1408"/>
      <c r="B1190" s="2720"/>
      <c r="C1190" s="2733" t="s">
        <v>839</v>
      </c>
      <c r="D1190" s="2737" t="s">
        <v>857</v>
      </c>
      <c r="E1190" s="2693">
        <v>79501</v>
      </c>
      <c r="F1190" s="2141">
        <v>32689</v>
      </c>
      <c r="G1190" s="2735">
        <v>55651</v>
      </c>
      <c r="H1190" s="2143">
        <f t="shared" si="71"/>
        <v>1.7024381290342316</v>
      </c>
    </row>
    <row r="1191" spans="1:10" s="1370" customFormat="1" ht="54" customHeight="1">
      <c r="A1191" s="1408"/>
      <c r="B1191" s="2720"/>
      <c r="C1191" s="2733" t="s">
        <v>381</v>
      </c>
      <c r="D1191" s="2737" t="s">
        <v>857</v>
      </c>
      <c r="E1191" s="2693">
        <v>350550</v>
      </c>
      <c r="F1191" s="2141">
        <v>1060959</v>
      </c>
      <c r="G1191" s="2735">
        <v>0</v>
      </c>
      <c r="H1191" s="2143">
        <f t="shared" si="71"/>
        <v>0</v>
      </c>
    </row>
    <row r="1192" spans="1:10" s="1370" customFormat="1" ht="54" customHeight="1">
      <c r="A1192" s="1429"/>
      <c r="B1192" s="2720"/>
      <c r="C1192" s="2738" t="s">
        <v>841</v>
      </c>
      <c r="D1192" s="2739" t="s">
        <v>857</v>
      </c>
      <c r="E1192" s="2693">
        <v>66677</v>
      </c>
      <c r="F1192" s="2141">
        <v>189207</v>
      </c>
      <c r="G1192" s="2735">
        <v>3371</v>
      </c>
      <c r="H1192" s="2143">
        <f t="shared" si="71"/>
        <v>1.781646556417046E-2</v>
      </c>
    </row>
    <row r="1193" spans="1:10" s="1370" customFormat="1" ht="54" customHeight="1">
      <c r="A1193" s="1408"/>
      <c r="B1193" s="2720"/>
      <c r="C1193" s="2697" t="s">
        <v>385</v>
      </c>
      <c r="D1193" s="2692" t="s">
        <v>842</v>
      </c>
      <c r="E1193" s="2662">
        <v>1033512</v>
      </c>
      <c r="F1193" s="1451">
        <v>310054</v>
      </c>
      <c r="G1193" s="2617">
        <v>723458</v>
      </c>
      <c r="H1193" s="1453">
        <f t="shared" si="71"/>
        <v>2.3333290330071534</v>
      </c>
    </row>
    <row r="1194" spans="1:10" s="1370" customFormat="1" ht="57.75" customHeight="1">
      <c r="A1194" s="1429"/>
      <c r="B1194" s="2720"/>
      <c r="C1194" s="2738" t="s">
        <v>449</v>
      </c>
      <c r="D1194" s="2740" t="s">
        <v>842</v>
      </c>
      <c r="E1194" s="2693">
        <v>62587</v>
      </c>
      <c r="F1194" s="2141">
        <v>18777</v>
      </c>
      <c r="G1194" s="2735">
        <v>43810</v>
      </c>
      <c r="H1194" s="2143">
        <f t="shared" si="71"/>
        <v>2.3331735634020343</v>
      </c>
    </row>
    <row r="1195" spans="1:10" ht="54" hidden="1" customHeight="1">
      <c r="A1195" s="1556"/>
      <c r="B1195" s="2493"/>
      <c r="C1195" s="1907" t="s">
        <v>566</v>
      </c>
      <c r="D1195" s="2741" t="s">
        <v>757</v>
      </c>
      <c r="E1195" s="2742">
        <v>0</v>
      </c>
      <c r="F1195" s="1909"/>
      <c r="G1195" s="2474"/>
      <c r="H1195" s="1942" t="e">
        <f t="shared" si="71"/>
        <v>#DIV/0!</v>
      </c>
    </row>
    <row r="1196" spans="1:10" s="1370" customFormat="1" ht="30.75" customHeight="1" thickBot="1">
      <c r="A1196" s="1516"/>
      <c r="B1196" s="2743"/>
      <c r="C1196" s="2744" t="s">
        <v>1054</v>
      </c>
      <c r="D1196" s="2745" t="s">
        <v>978</v>
      </c>
      <c r="E1196" s="2746">
        <v>0</v>
      </c>
      <c r="F1196" s="1538">
        <v>0</v>
      </c>
      <c r="G1196" s="2747">
        <v>3001</v>
      </c>
      <c r="H1196" s="1540"/>
    </row>
    <row r="1197" spans="1:10" s="1622" customFormat="1" ht="22.5" customHeight="1" thickBot="1">
      <c r="A1197" s="1614" t="s">
        <v>1055</v>
      </c>
      <c r="B1197" s="1615"/>
      <c r="C1197" s="1616"/>
      <c r="D1197" s="2748" t="s">
        <v>1056</v>
      </c>
      <c r="E1197" s="1618">
        <f t="shared" ref="E1197:G1200" si="72">SUM(E1198)</f>
        <v>5000</v>
      </c>
      <c r="F1197" s="1619">
        <f t="shared" si="72"/>
        <v>6200</v>
      </c>
      <c r="G1197" s="1620">
        <f t="shared" si="72"/>
        <v>0</v>
      </c>
      <c r="H1197" s="1621">
        <f t="shared" si="71"/>
        <v>0</v>
      </c>
      <c r="J1197" s="1370"/>
    </row>
    <row r="1198" spans="1:10" s="1622" customFormat="1" ht="14.25" customHeight="1" thickBot="1">
      <c r="A1198" s="1631"/>
      <c r="B1198" s="1624" t="s">
        <v>1057</v>
      </c>
      <c r="C1198" s="1625"/>
      <c r="D1198" s="1626" t="s">
        <v>481</v>
      </c>
      <c r="E1198" s="1627">
        <f t="shared" si="72"/>
        <v>5000</v>
      </c>
      <c r="F1198" s="1628">
        <f t="shared" si="72"/>
        <v>6200</v>
      </c>
      <c r="G1198" s="1629">
        <f t="shared" si="72"/>
        <v>0</v>
      </c>
      <c r="H1198" s="1630">
        <f t="shared" si="71"/>
        <v>0</v>
      </c>
      <c r="J1198" s="1370"/>
    </row>
    <row r="1199" spans="1:10" s="1622" customFormat="1" ht="15" customHeight="1">
      <c r="A1199" s="1631"/>
      <c r="B1199" s="2749"/>
      <c r="C1199" s="4731" t="s">
        <v>688</v>
      </c>
      <c r="D1199" s="4731"/>
      <c r="E1199" s="2750">
        <f t="shared" si="72"/>
        <v>5000</v>
      </c>
      <c r="F1199" s="2751">
        <f t="shared" si="72"/>
        <v>6200</v>
      </c>
      <c r="G1199" s="2752">
        <f t="shared" si="72"/>
        <v>0</v>
      </c>
      <c r="H1199" s="1636">
        <f t="shared" si="71"/>
        <v>0</v>
      </c>
      <c r="J1199" s="1370"/>
    </row>
    <row r="1200" spans="1:10" s="1622" customFormat="1" ht="17.25" customHeight="1">
      <c r="A1200" s="1631"/>
      <c r="B1200" s="2749"/>
      <c r="C1200" s="4752" t="s">
        <v>689</v>
      </c>
      <c r="D1200" s="4752"/>
      <c r="E1200" s="2753">
        <f t="shared" si="72"/>
        <v>5000</v>
      </c>
      <c r="F1200" s="2754">
        <f t="shared" si="72"/>
        <v>6200</v>
      </c>
      <c r="G1200" s="2755">
        <f t="shared" si="72"/>
        <v>0</v>
      </c>
      <c r="H1200" s="2756">
        <f t="shared" si="71"/>
        <v>0</v>
      </c>
      <c r="J1200" s="1370"/>
    </row>
    <row r="1201" spans="1:10" s="1622" customFormat="1" ht="17.25" customHeight="1">
      <c r="A1201" s="1631"/>
      <c r="B1201" s="2749"/>
      <c r="C1201" s="4753" t="s">
        <v>704</v>
      </c>
      <c r="D1201" s="4753"/>
      <c r="E1201" s="2757">
        <f>SUM(E1202:E1204)</f>
        <v>5000</v>
      </c>
      <c r="F1201" s="2758">
        <f>SUM(F1202:F1204)</f>
        <v>6200</v>
      </c>
      <c r="G1201" s="2759">
        <f>SUM(G1202:G1204)</f>
        <v>0</v>
      </c>
      <c r="H1201" s="2756">
        <f t="shared" si="71"/>
        <v>0</v>
      </c>
      <c r="J1201" s="1370" t="s">
        <v>809</v>
      </c>
    </row>
    <row r="1202" spans="1:10" s="1622" customFormat="1" ht="18" customHeight="1">
      <c r="A1202" s="1631"/>
      <c r="B1202" s="2749"/>
      <c r="C1202" s="2760" t="s">
        <v>707</v>
      </c>
      <c r="D1202" s="2761" t="s">
        <v>708</v>
      </c>
      <c r="E1202" s="2753">
        <v>2000</v>
      </c>
      <c r="F1202" s="2762">
        <v>1500</v>
      </c>
      <c r="G1202" s="2763">
        <v>0</v>
      </c>
      <c r="H1202" s="2756">
        <f t="shared" si="71"/>
        <v>0</v>
      </c>
    </row>
    <row r="1203" spans="1:10" s="1622" customFormat="1" ht="18" customHeight="1">
      <c r="A1203" s="1631"/>
      <c r="B1203" s="2749"/>
      <c r="C1203" s="2760" t="s">
        <v>709</v>
      </c>
      <c r="D1203" s="2764" t="s">
        <v>710</v>
      </c>
      <c r="E1203" s="2753"/>
      <c r="F1203" s="2762">
        <v>1200</v>
      </c>
      <c r="G1203" s="2763">
        <v>0</v>
      </c>
      <c r="H1203" s="2765"/>
      <c r="J1203" s="1370"/>
    </row>
    <row r="1204" spans="1:10" s="1622" customFormat="1" ht="18" customHeight="1" thickBot="1">
      <c r="A1204" s="1631"/>
      <c r="B1204" s="2749"/>
      <c r="C1204" s="2760" t="s">
        <v>717</v>
      </c>
      <c r="D1204" s="2761" t="s">
        <v>718</v>
      </c>
      <c r="E1204" s="2753">
        <v>3000</v>
      </c>
      <c r="F1204" s="2762">
        <v>3500</v>
      </c>
      <c r="G1204" s="2763">
        <v>0</v>
      </c>
      <c r="H1204" s="2766">
        <f t="shared" si="71"/>
        <v>0</v>
      </c>
      <c r="J1204" s="1370"/>
    </row>
    <row r="1205" spans="1:10" ht="17.100000000000001" customHeight="1" thickBot="1">
      <c r="A1205" s="1595" t="s">
        <v>1058</v>
      </c>
      <c r="B1205" s="1401"/>
      <c r="C1205" s="1402"/>
      <c r="D1205" s="1403" t="s">
        <v>1059</v>
      </c>
      <c r="E1205" s="2097">
        <v>1711000</v>
      </c>
      <c r="F1205" s="2098">
        <f>SUM(F1206,F1213,F1221,F1225,F1233,F1240,)</f>
        <v>8454891</v>
      </c>
      <c r="G1205" s="2098">
        <f>SUM(G1206,G1213,G1221,G1225,G1233,G1240,)</f>
        <v>1892100</v>
      </c>
      <c r="H1205" s="1602">
        <f t="shared" si="71"/>
        <v>0.2237876277766325</v>
      </c>
    </row>
    <row r="1206" spans="1:10" s="1622" customFormat="1" ht="16.5" customHeight="1" thickBot="1">
      <c r="A1206" s="1631"/>
      <c r="B1206" s="1624" t="s">
        <v>1060</v>
      </c>
      <c r="C1206" s="1625"/>
      <c r="D1206" s="1626" t="s">
        <v>1061</v>
      </c>
      <c r="E1206" s="1627">
        <f>SUM(E1210)</f>
        <v>385000</v>
      </c>
      <c r="F1206" s="1628">
        <f>SUM(F1210)</f>
        <v>385000</v>
      </c>
      <c r="G1206" s="1629">
        <f>SUM(G1210)</f>
        <v>450000</v>
      </c>
      <c r="H1206" s="1630">
        <f t="shared" si="71"/>
        <v>1.1688311688311688</v>
      </c>
      <c r="J1206" s="1370"/>
    </row>
    <row r="1207" spans="1:10" s="1622" customFormat="1" ht="16.5" hidden="1" customHeight="1" thickBot="1">
      <c r="A1207" s="1631"/>
      <c r="B1207" s="1983"/>
      <c r="C1207" s="4731" t="s">
        <v>688</v>
      </c>
      <c r="D1207" s="4731"/>
      <c r="E1207" s="2767">
        <v>0</v>
      </c>
      <c r="F1207" s="2768">
        <v>0</v>
      </c>
      <c r="G1207" s="2769">
        <v>0</v>
      </c>
      <c r="H1207" s="1636" t="e">
        <f t="shared" si="71"/>
        <v>#DIV/0!</v>
      </c>
      <c r="J1207" s="1370"/>
    </row>
    <row r="1208" spans="1:10" s="1622" customFormat="1" ht="20.25" hidden="1" customHeight="1">
      <c r="A1208" s="1631"/>
      <c r="B1208" s="1983"/>
      <c r="C1208" s="4736" t="s">
        <v>797</v>
      </c>
      <c r="D1208" s="4737"/>
      <c r="E1208" s="2770">
        <v>0</v>
      </c>
      <c r="F1208" s="2771">
        <v>0</v>
      </c>
      <c r="G1208" s="2772">
        <v>0</v>
      </c>
      <c r="H1208" s="2773" t="e">
        <f t="shared" si="71"/>
        <v>#DIV/0!</v>
      </c>
      <c r="J1208" s="1370"/>
    </row>
    <row r="1209" spans="1:10" s="1622" customFormat="1" ht="15.75" hidden="1" customHeight="1">
      <c r="A1209" s="1631"/>
      <c r="B1209" s="1983"/>
      <c r="C1209" s="2774" t="s">
        <v>1062</v>
      </c>
      <c r="D1209" s="2775" t="s">
        <v>1063</v>
      </c>
      <c r="E1209" s="2770">
        <v>0</v>
      </c>
      <c r="F1209" s="2771">
        <v>0</v>
      </c>
      <c r="G1209" s="2772">
        <v>0</v>
      </c>
      <c r="H1209" s="2773" t="e">
        <f t="shared" si="71"/>
        <v>#DIV/0!</v>
      </c>
      <c r="J1209" s="1370"/>
    </row>
    <row r="1210" spans="1:10" s="1622" customFormat="1" ht="17.100000000000001" customHeight="1">
      <c r="A1210" s="1631"/>
      <c r="B1210" s="4738"/>
      <c r="C1210" s="4740" t="s">
        <v>744</v>
      </c>
      <c r="D1210" s="4741"/>
      <c r="E1210" s="2506">
        <f t="shared" ref="E1210:G1211" si="73">SUM(E1211)</f>
        <v>385000</v>
      </c>
      <c r="F1210" s="1634">
        <f t="shared" si="73"/>
        <v>385000</v>
      </c>
      <c r="G1210" s="2507">
        <f t="shared" si="73"/>
        <v>450000</v>
      </c>
      <c r="H1210" s="2773">
        <f t="shared" si="71"/>
        <v>1.1688311688311688</v>
      </c>
      <c r="J1210" s="1370"/>
    </row>
    <row r="1211" spans="1:10" s="1622" customFormat="1" ht="17.100000000000001" customHeight="1">
      <c r="A1211" s="1631"/>
      <c r="B1211" s="4738"/>
      <c r="C1211" s="4732" t="s">
        <v>745</v>
      </c>
      <c r="D1211" s="4733"/>
      <c r="E1211" s="2776">
        <f t="shared" si="73"/>
        <v>385000</v>
      </c>
      <c r="F1211" s="2762">
        <f t="shared" si="73"/>
        <v>385000</v>
      </c>
      <c r="G1211" s="2777">
        <f t="shared" si="73"/>
        <v>450000</v>
      </c>
      <c r="H1211" s="2756">
        <f t="shared" si="71"/>
        <v>1.1688311688311688</v>
      </c>
      <c r="J1211" s="1370"/>
    </row>
    <row r="1212" spans="1:10" s="1622" customFormat="1" ht="29.25" customHeight="1" thickBot="1">
      <c r="A1212" s="1673"/>
      <c r="B1212" s="4739"/>
      <c r="C1212" s="2778" t="s">
        <v>1064</v>
      </c>
      <c r="D1212" s="2779" t="s">
        <v>1065</v>
      </c>
      <c r="E1212" s="2780">
        <v>385000</v>
      </c>
      <c r="F1212" s="1676">
        <v>385000</v>
      </c>
      <c r="G1212" s="2781">
        <v>450000</v>
      </c>
      <c r="H1212" s="1678">
        <f t="shared" si="71"/>
        <v>1.1688311688311688</v>
      </c>
      <c r="J1212" s="1370" t="s">
        <v>809</v>
      </c>
    </row>
    <row r="1213" spans="1:10" s="1622" customFormat="1" ht="17.100000000000001" customHeight="1" thickBot="1">
      <c r="A1213" s="1623"/>
      <c r="B1213" s="1624" t="s">
        <v>1066</v>
      </c>
      <c r="C1213" s="1625"/>
      <c r="D1213" s="1626" t="s">
        <v>1067</v>
      </c>
      <c r="E1213" s="1627">
        <f>SUM(E1218)</f>
        <v>250000</v>
      </c>
      <c r="F1213" s="1628">
        <f>SUM(F1218)</f>
        <v>250000</v>
      </c>
      <c r="G1213" s="1629">
        <f>SUM(G1218)</f>
        <v>363500</v>
      </c>
      <c r="H1213" s="1630">
        <f t="shared" si="71"/>
        <v>1.454</v>
      </c>
      <c r="J1213" s="1370"/>
    </row>
    <row r="1214" spans="1:10" s="1622" customFormat="1" ht="17.100000000000001" hidden="1" customHeight="1" thickBot="1">
      <c r="A1214" s="1631"/>
      <c r="B1214" s="4416"/>
      <c r="C1214" s="4731" t="s">
        <v>688</v>
      </c>
      <c r="D1214" s="4731"/>
      <c r="E1214" s="2767">
        <v>0</v>
      </c>
      <c r="F1214" s="2768">
        <v>0</v>
      </c>
      <c r="G1214" s="2769">
        <v>0</v>
      </c>
      <c r="H1214" s="1636" t="e">
        <f t="shared" si="71"/>
        <v>#DIV/0!</v>
      </c>
      <c r="J1214" s="1370"/>
    </row>
    <row r="1215" spans="1:10" s="1622" customFormat="1" ht="17.100000000000001" hidden="1" customHeight="1">
      <c r="A1215" s="1631"/>
      <c r="B1215" s="4416"/>
      <c r="C1215" s="4732" t="s">
        <v>797</v>
      </c>
      <c r="D1215" s="4732"/>
      <c r="E1215" s="2770">
        <v>0</v>
      </c>
      <c r="F1215" s="2771">
        <v>0</v>
      </c>
      <c r="G1215" s="2772">
        <v>0</v>
      </c>
      <c r="H1215" s="2773" t="e">
        <f t="shared" si="71"/>
        <v>#DIV/0!</v>
      </c>
      <c r="J1215" s="1370"/>
    </row>
    <row r="1216" spans="1:10" s="1622" customFormat="1" ht="17.100000000000001" hidden="1" customHeight="1">
      <c r="A1216" s="1631"/>
      <c r="B1216" s="4416"/>
      <c r="C1216" s="2760" t="s">
        <v>1068</v>
      </c>
      <c r="D1216" s="2761" t="s">
        <v>1063</v>
      </c>
      <c r="E1216" s="2770">
        <v>0</v>
      </c>
      <c r="F1216" s="2771">
        <v>0</v>
      </c>
      <c r="G1216" s="2772">
        <v>0</v>
      </c>
      <c r="H1216" s="2782" t="e">
        <f t="shared" si="71"/>
        <v>#DIV/0!</v>
      </c>
      <c r="J1216" s="1370"/>
    </row>
    <row r="1217" spans="1:10" s="1622" customFormat="1" ht="17.100000000000001" hidden="1" customHeight="1">
      <c r="A1217" s="1631"/>
      <c r="B1217" s="4738"/>
      <c r="C1217" s="4742"/>
      <c r="D1217" s="4743"/>
      <c r="E1217" s="2506">
        <f t="shared" ref="E1217:G1219" si="74">SUM(E1218)</f>
        <v>250000</v>
      </c>
      <c r="F1217" s="1634">
        <f t="shared" si="74"/>
        <v>250000</v>
      </c>
      <c r="G1217" s="2507">
        <f t="shared" si="74"/>
        <v>363500</v>
      </c>
      <c r="H1217" s="2782">
        <f t="shared" si="71"/>
        <v>1.454</v>
      </c>
      <c r="J1217" s="1370"/>
    </row>
    <row r="1218" spans="1:10" s="1622" customFormat="1" ht="17.100000000000001" customHeight="1">
      <c r="A1218" s="1631"/>
      <c r="B1218" s="4738"/>
      <c r="C1218" s="4744" t="s">
        <v>744</v>
      </c>
      <c r="D1218" s="4745"/>
      <c r="E1218" s="2783">
        <f t="shared" si="74"/>
        <v>250000</v>
      </c>
      <c r="F1218" s="2784">
        <f t="shared" si="74"/>
        <v>250000</v>
      </c>
      <c r="G1218" s="2785">
        <f t="shared" si="74"/>
        <v>363500</v>
      </c>
      <c r="H1218" s="2782">
        <f t="shared" si="71"/>
        <v>1.454</v>
      </c>
      <c r="J1218" s="1370"/>
    </row>
    <row r="1219" spans="1:10" s="1622" customFormat="1" ht="17.100000000000001" customHeight="1">
      <c r="A1219" s="1631"/>
      <c r="B1219" s="4738"/>
      <c r="C1219" s="4732" t="s">
        <v>745</v>
      </c>
      <c r="D1219" s="4733"/>
      <c r="E1219" s="2776">
        <f t="shared" si="74"/>
        <v>250000</v>
      </c>
      <c r="F1219" s="2762">
        <f t="shared" si="74"/>
        <v>250000</v>
      </c>
      <c r="G1219" s="2777">
        <f t="shared" si="74"/>
        <v>363500</v>
      </c>
      <c r="H1219" s="2756">
        <f t="shared" si="71"/>
        <v>1.454</v>
      </c>
      <c r="J1219" s="1370"/>
    </row>
    <row r="1220" spans="1:10" s="1622" customFormat="1" ht="27" customHeight="1" thickBot="1">
      <c r="A1220" s="1653"/>
      <c r="B1220" s="4739"/>
      <c r="C1220" s="2778" t="s">
        <v>1064</v>
      </c>
      <c r="D1220" s="2779" t="s">
        <v>1065</v>
      </c>
      <c r="E1220" s="2780">
        <v>250000</v>
      </c>
      <c r="F1220" s="1676">
        <v>250000</v>
      </c>
      <c r="G1220" s="2781">
        <v>363500</v>
      </c>
      <c r="H1220" s="2766">
        <f t="shared" si="71"/>
        <v>1.454</v>
      </c>
      <c r="J1220" s="1370" t="s">
        <v>809</v>
      </c>
    </row>
    <row r="1221" spans="1:10" s="1622" customFormat="1" ht="17.25" customHeight="1" thickBot="1">
      <c r="A1221" s="1631"/>
      <c r="B1221" s="2513" t="s">
        <v>1069</v>
      </c>
      <c r="C1221" s="2514"/>
      <c r="D1221" s="2515" t="s">
        <v>1070</v>
      </c>
      <c r="E1221" s="2516">
        <f t="shared" ref="E1221:G1223" si="75">SUM(E1222)</f>
        <v>500000</v>
      </c>
      <c r="F1221" s="2517">
        <f t="shared" si="75"/>
        <v>500000</v>
      </c>
      <c r="G1221" s="2518">
        <f t="shared" si="75"/>
        <v>500000</v>
      </c>
      <c r="H1221" s="1630">
        <f t="shared" si="71"/>
        <v>1</v>
      </c>
      <c r="J1221" s="1370"/>
    </row>
    <row r="1222" spans="1:10" s="1622" customFormat="1" ht="17.100000000000001" customHeight="1">
      <c r="A1222" s="1631"/>
      <c r="B1222" s="4594"/>
      <c r="C1222" s="4731" t="s">
        <v>744</v>
      </c>
      <c r="D1222" s="4731"/>
      <c r="E1222" s="2783">
        <f t="shared" si="75"/>
        <v>500000</v>
      </c>
      <c r="F1222" s="2784">
        <f t="shared" si="75"/>
        <v>500000</v>
      </c>
      <c r="G1222" s="2785">
        <f t="shared" si="75"/>
        <v>500000</v>
      </c>
      <c r="H1222" s="1636">
        <f t="shared" si="71"/>
        <v>1</v>
      </c>
      <c r="J1222" s="1370"/>
    </row>
    <row r="1223" spans="1:10" s="1622" customFormat="1" ht="17.100000000000001" customHeight="1">
      <c r="A1223" s="1631"/>
      <c r="B1223" s="4594"/>
      <c r="C1223" s="4732" t="s">
        <v>745</v>
      </c>
      <c r="D1223" s="4733"/>
      <c r="E1223" s="2776">
        <f t="shared" si="75"/>
        <v>500000</v>
      </c>
      <c r="F1223" s="2762">
        <f t="shared" si="75"/>
        <v>500000</v>
      </c>
      <c r="G1223" s="2777">
        <f t="shared" si="75"/>
        <v>500000</v>
      </c>
      <c r="H1223" s="2756">
        <f t="shared" si="71"/>
        <v>1</v>
      </c>
      <c r="J1223" s="1370"/>
    </row>
    <row r="1224" spans="1:10" s="1622" customFormat="1" ht="27" customHeight="1" thickBot="1">
      <c r="A1224" s="1653"/>
      <c r="B1224" s="4734"/>
      <c r="C1224" s="2778" t="s">
        <v>1064</v>
      </c>
      <c r="D1224" s="2779" t="s">
        <v>1065</v>
      </c>
      <c r="E1224" s="2780">
        <v>500000</v>
      </c>
      <c r="F1224" s="1676">
        <v>500000</v>
      </c>
      <c r="G1224" s="2781">
        <v>500000</v>
      </c>
      <c r="H1224" s="1678">
        <f t="shared" si="71"/>
        <v>1</v>
      </c>
      <c r="J1224" s="1370" t="s">
        <v>809</v>
      </c>
    </row>
    <row r="1225" spans="1:10" s="1370" customFormat="1" ht="18" customHeight="1" thickBot="1">
      <c r="A1225" s="1408"/>
      <c r="B1225" s="1541" t="s">
        <v>1071</v>
      </c>
      <c r="C1225" s="1542"/>
      <c r="D1225" s="2184" t="s">
        <v>1072</v>
      </c>
      <c r="E1225" s="1544">
        <f>SUM(E1226,E1230)</f>
        <v>0</v>
      </c>
      <c r="F1225" s="1545">
        <f>SUM(F1226,F1230)</f>
        <v>111000</v>
      </c>
      <c r="G1225" s="1546">
        <f>SUM(G1226,G1230)</f>
        <v>0</v>
      </c>
      <c r="H1225" s="1547">
        <f t="shared" si="71"/>
        <v>0</v>
      </c>
    </row>
    <row r="1226" spans="1:10" s="1370" customFormat="1">
      <c r="A1226" s="1408"/>
      <c r="B1226" s="1429"/>
      <c r="C1226" s="4735" t="s">
        <v>688</v>
      </c>
      <c r="D1226" s="4735"/>
      <c r="E1226" s="2786">
        <f t="shared" ref="E1226:G1227" si="76">SUM(E1227)</f>
        <v>0</v>
      </c>
      <c r="F1226" s="2787">
        <f t="shared" si="76"/>
        <v>63000</v>
      </c>
      <c r="G1226" s="2788">
        <f t="shared" si="76"/>
        <v>0</v>
      </c>
      <c r="H1226" s="1509">
        <f t="shared" si="71"/>
        <v>0</v>
      </c>
    </row>
    <row r="1227" spans="1:10" s="1370" customFormat="1">
      <c r="A1227" s="1408"/>
      <c r="B1227" s="1429"/>
      <c r="C1227" s="4729" t="s">
        <v>797</v>
      </c>
      <c r="D1227" s="4729"/>
      <c r="E1227" s="2789">
        <f t="shared" si="76"/>
        <v>0</v>
      </c>
      <c r="F1227" s="2790">
        <f t="shared" si="76"/>
        <v>63000</v>
      </c>
      <c r="G1227" s="2791">
        <f t="shared" si="76"/>
        <v>0</v>
      </c>
      <c r="H1227" s="2792">
        <f t="shared" si="71"/>
        <v>0</v>
      </c>
    </row>
    <row r="1228" spans="1:10" s="1370" customFormat="1" ht="38.25">
      <c r="A1228" s="1408"/>
      <c r="B1228" s="1429"/>
      <c r="C1228" s="2793" t="s">
        <v>353</v>
      </c>
      <c r="D1228" s="2794" t="s">
        <v>932</v>
      </c>
      <c r="E1228" s="2795">
        <v>0</v>
      </c>
      <c r="F1228" s="2790">
        <v>63000</v>
      </c>
      <c r="G1228" s="2796">
        <v>0</v>
      </c>
      <c r="H1228" s="2792">
        <f t="shared" si="71"/>
        <v>0</v>
      </c>
    </row>
    <row r="1229" spans="1:10" s="1370" customFormat="1">
      <c r="A1229" s="1408"/>
      <c r="B1229" s="1429"/>
      <c r="C1229" s="4725"/>
      <c r="D1229" s="4726"/>
      <c r="E1229" s="2795"/>
      <c r="F1229" s="2790"/>
      <c r="G1229" s="2796"/>
      <c r="H1229" s="2792"/>
    </row>
    <row r="1230" spans="1:10" s="1370" customFormat="1" ht="15">
      <c r="A1230" s="1408"/>
      <c r="B1230" s="1429"/>
      <c r="C1230" s="4727" t="s">
        <v>744</v>
      </c>
      <c r="D1230" s="4728"/>
      <c r="E1230" s="2786">
        <f t="shared" ref="E1230:G1231" si="77">SUM(E1231)</f>
        <v>0</v>
      </c>
      <c r="F1230" s="2787">
        <f t="shared" si="77"/>
        <v>48000</v>
      </c>
      <c r="G1230" s="2788">
        <f t="shared" si="77"/>
        <v>0</v>
      </c>
      <c r="H1230" s="2797">
        <f t="shared" ref="H1230:H1245" si="78">G1230/F1230</f>
        <v>0</v>
      </c>
    </row>
    <row r="1231" spans="1:10" s="1370" customFormat="1" ht="15">
      <c r="A1231" s="1408"/>
      <c r="B1231" s="1429"/>
      <c r="C1231" s="4729" t="s">
        <v>745</v>
      </c>
      <c r="D1231" s="4730"/>
      <c r="E1231" s="2789">
        <f t="shared" si="77"/>
        <v>0</v>
      </c>
      <c r="F1231" s="2790">
        <f t="shared" si="77"/>
        <v>48000</v>
      </c>
      <c r="G1231" s="2791">
        <f t="shared" si="77"/>
        <v>0</v>
      </c>
      <c r="H1231" s="2792">
        <f t="shared" si="78"/>
        <v>0</v>
      </c>
    </row>
    <row r="1232" spans="1:10" s="1370" customFormat="1" ht="42.75" customHeight="1" thickBot="1">
      <c r="A1232" s="1429"/>
      <c r="B1232" s="1591"/>
      <c r="C1232" s="2798" t="s">
        <v>880</v>
      </c>
      <c r="D1232" s="2799" t="s">
        <v>881</v>
      </c>
      <c r="E1232" s="2800">
        <v>0</v>
      </c>
      <c r="F1232" s="1538">
        <v>48000</v>
      </c>
      <c r="G1232" s="2747">
        <v>0</v>
      </c>
      <c r="H1232" s="1540">
        <f t="shared" si="78"/>
        <v>0</v>
      </c>
    </row>
    <row r="1233" spans="1:10" s="1622" customFormat="1" ht="17.100000000000001" customHeight="1" thickBot="1">
      <c r="A1233" s="1631"/>
      <c r="B1233" s="1624" t="s">
        <v>1073</v>
      </c>
      <c r="C1233" s="1972"/>
      <c r="D1233" s="1626" t="s">
        <v>1074</v>
      </c>
      <c r="E1233" s="1627">
        <f t="shared" ref="E1233:G1235" si="79">SUM(E1234)</f>
        <v>526000</v>
      </c>
      <c r="F1233" s="1628">
        <f t="shared" si="79"/>
        <v>526000</v>
      </c>
      <c r="G1233" s="1629">
        <f t="shared" si="79"/>
        <v>578600</v>
      </c>
      <c r="H1233" s="1630">
        <f t="shared" si="78"/>
        <v>1.1000000000000001</v>
      </c>
      <c r="J1233" s="1370"/>
    </row>
    <row r="1234" spans="1:10" s="1622" customFormat="1" ht="17.100000000000001" customHeight="1">
      <c r="A1234" s="1631"/>
      <c r="B1234" s="4416"/>
      <c r="C1234" s="4731" t="s">
        <v>688</v>
      </c>
      <c r="D1234" s="4731"/>
      <c r="E1234" s="2783">
        <f t="shared" si="79"/>
        <v>526000</v>
      </c>
      <c r="F1234" s="2784">
        <f t="shared" si="79"/>
        <v>526000</v>
      </c>
      <c r="G1234" s="2785">
        <f t="shared" si="79"/>
        <v>578600</v>
      </c>
      <c r="H1234" s="1636">
        <f t="shared" si="78"/>
        <v>1.1000000000000001</v>
      </c>
      <c r="J1234" s="1370"/>
    </row>
    <row r="1235" spans="1:10" s="1622" customFormat="1" ht="17.100000000000001" customHeight="1">
      <c r="A1235" s="1631"/>
      <c r="B1235" s="4416"/>
      <c r="C1235" s="4732" t="s">
        <v>797</v>
      </c>
      <c r="D1235" s="4732"/>
      <c r="E1235" s="2776">
        <f t="shared" si="79"/>
        <v>526000</v>
      </c>
      <c r="F1235" s="2762">
        <f t="shared" si="79"/>
        <v>526000</v>
      </c>
      <c r="G1235" s="2777">
        <f t="shared" si="79"/>
        <v>578600</v>
      </c>
      <c r="H1235" s="2756">
        <f t="shared" si="78"/>
        <v>1.1000000000000001</v>
      </c>
      <c r="J1235" s="1370"/>
    </row>
    <row r="1236" spans="1:10" s="1622" customFormat="1" ht="55.5" customHeight="1" thickBot="1">
      <c r="A1236" s="1631"/>
      <c r="B1236" s="4416"/>
      <c r="C1236" s="2801" t="s">
        <v>374</v>
      </c>
      <c r="D1236" s="2802" t="s">
        <v>817</v>
      </c>
      <c r="E1236" s="2803">
        <v>526000</v>
      </c>
      <c r="F1236" s="2762">
        <v>526000</v>
      </c>
      <c r="G1236" s="2763">
        <v>578600</v>
      </c>
      <c r="H1236" s="2756">
        <f t="shared" si="78"/>
        <v>1.1000000000000001</v>
      </c>
      <c r="J1236" s="1370" t="s">
        <v>809</v>
      </c>
    </row>
    <row r="1237" spans="1:10" ht="15" hidden="1" customHeight="1" thickBot="1">
      <c r="A1237" s="1556"/>
      <c r="B1237" s="1750"/>
      <c r="C1237" s="4714" t="s">
        <v>744</v>
      </c>
      <c r="D1237" s="4715"/>
      <c r="E1237" s="2804">
        <v>0</v>
      </c>
      <c r="F1237" s="2805"/>
      <c r="G1237" s="2806"/>
      <c r="H1237" s="2807" t="e">
        <f t="shared" si="78"/>
        <v>#DIV/0!</v>
      </c>
    </row>
    <row r="1238" spans="1:10" ht="18" hidden="1" customHeight="1" thickBot="1">
      <c r="A1238" s="1556"/>
      <c r="B1238" s="1750"/>
      <c r="C1238" s="4710" t="s">
        <v>745</v>
      </c>
      <c r="D1238" s="4716"/>
      <c r="E1238" s="2808">
        <v>0</v>
      </c>
      <c r="F1238" s="2805"/>
      <c r="G1238" s="2806"/>
      <c r="H1238" s="2807" t="e">
        <f t="shared" si="78"/>
        <v>#DIV/0!</v>
      </c>
    </row>
    <row r="1239" spans="1:10" ht="54.75" hidden="1" customHeight="1" thickBot="1">
      <c r="A1239" s="1556"/>
      <c r="B1239" s="1750"/>
      <c r="C1239" s="2809" t="s">
        <v>1075</v>
      </c>
      <c r="D1239" s="2810" t="s">
        <v>1076</v>
      </c>
      <c r="E1239" s="2811">
        <v>0</v>
      </c>
      <c r="F1239" s="2805"/>
      <c r="G1239" s="2806"/>
      <c r="H1239" s="2812" t="e">
        <f t="shared" si="78"/>
        <v>#DIV/0!</v>
      </c>
    </row>
    <row r="1240" spans="1:10" s="1622" customFormat="1" ht="17.100000000000001" customHeight="1" thickBot="1">
      <c r="A1240" s="1631"/>
      <c r="B1240" s="1624" t="s">
        <v>1077</v>
      </c>
      <c r="C1240" s="2005"/>
      <c r="D1240" s="2006" t="s">
        <v>483</v>
      </c>
      <c r="E1240" s="1627">
        <f>SUM(E1241,E1254)</f>
        <v>50000</v>
      </c>
      <c r="F1240" s="1628">
        <f>SUM(F1241,F1254)</f>
        <v>6682891</v>
      </c>
      <c r="G1240" s="1629">
        <f>SUM(G1241,G1254)</f>
        <v>0</v>
      </c>
      <c r="H1240" s="1630">
        <f t="shared" si="78"/>
        <v>0</v>
      </c>
      <c r="J1240" s="1370"/>
    </row>
    <row r="1241" spans="1:10" s="1622" customFormat="1" ht="17.100000000000001" customHeight="1">
      <c r="A1241" s="1631"/>
      <c r="B1241" s="2628"/>
      <c r="C1241" s="4717" t="s">
        <v>688</v>
      </c>
      <c r="D1241" s="4718"/>
      <c r="E1241" s="2010">
        <f>SUM(E1242,E1247)</f>
        <v>50000</v>
      </c>
      <c r="F1241" s="1681">
        <f>SUM(F1242,F1247)</f>
        <v>6107891</v>
      </c>
      <c r="G1241" s="2813">
        <f>SUM(G1242,G1247)</f>
        <v>0</v>
      </c>
      <c r="H1241" s="1636">
        <f t="shared" si="78"/>
        <v>0</v>
      </c>
      <c r="J1241" s="1370"/>
    </row>
    <row r="1242" spans="1:10" s="1622" customFormat="1" ht="17.100000000000001" customHeight="1">
      <c r="A1242" s="1631"/>
      <c r="B1242" s="2536"/>
      <c r="C1242" s="4719" t="s">
        <v>689</v>
      </c>
      <c r="D1242" s="4720"/>
      <c r="E1242" s="2814">
        <f>SUM(E1243)</f>
        <v>50000</v>
      </c>
      <c r="F1242" s="2815">
        <f>SUM(F1243)</f>
        <v>3080891</v>
      </c>
      <c r="G1242" s="2816">
        <f>SUM(G1243)</f>
        <v>0</v>
      </c>
      <c r="H1242" s="2817">
        <f t="shared" si="78"/>
        <v>0</v>
      </c>
      <c r="J1242" s="1370"/>
    </row>
    <row r="1243" spans="1:10" s="1622" customFormat="1" ht="15" customHeight="1">
      <c r="A1243" s="1631"/>
      <c r="B1243" s="2536"/>
      <c r="C1243" s="4721" t="s">
        <v>704</v>
      </c>
      <c r="D1243" s="4722"/>
      <c r="E1243" s="2818">
        <f>SUM(E1244:E1245)</f>
        <v>50000</v>
      </c>
      <c r="F1243" s="2819">
        <f>SUM(F1244:F1245)</f>
        <v>3080891</v>
      </c>
      <c r="G1243" s="2820">
        <f>SUM(G1244:G1245)</f>
        <v>0</v>
      </c>
      <c r="H1243" s="2821">
        <f t="shared" si="78"/>
        <v>0</v>
      </c>
      <c r="J1243" s="1370"/>
    </row>
    <row r="1244" spans="1:10" s="1622" customFormat="1" ht="15" customHeight="1">
      <c r="A1244" s="1631"/>
      <c r="B1244" s="2536"/>
      <c r="C1244" s="2822" t="s">
        <v>707</v>
      </c>
      <c r="D1244" s="2823" t="s">
        <v>708</v>
      </c>
      <c r="E1244" s="2814">
        <v>0</v>
      </c>
      <c r="F1244" s="2824">
        <v>50000</v>
      </c>
      <c r="G1244" s="2419">
        <v>0</v>
      </c>
      <c r="H1244" s="2817">
        <f t="shared" si="78"/>
        <v>0</v>
      </c>
      <c r="J1244" s="1370"/>
    </row>
    <row r="1245" spans="1:10" s="1622" customFormat="1" ht="15" customHeight="1">
      <c r="A1245" s="1631"/>
      <c r="B1245" s="2536"/>
      <c r="C1245" s="2825" t="s">
        <v>717</v>
      </c>
      <c r="D1245" s="2823" t="s">
        <v>718</v>
      </c>
      <c r="E1245" s="2814">
        <v>50000</v>
      </c>
      <c r="F1245" s="2824">
        <v>3030891</v>
      </c>
      <c r="G1245" s="2419">
        <v>0</v>
      </c>
      <c r="H1245" s="2817">
        <f t="shared" si="78"/>
        <v>0</v>
      </c>
      <c r="J1245" s="1370"/>
    </row>
    <row r="1246" spans="1:10" s="1622" customFormat="1" ht="15" customHeight="1">
      <c r="A1246" s="1631"/>
      <c r="B1246" s="2536"/>
      <c r="C1246" s="2825"/>
      <c r="D1246" s="2823"/>
      <c r="E1246" s="2814"/>
      <c r="F1246" s="2824"/>
      <c r="G1246" s="2419"/>
      <c r="H1246" s="2817"/>
      <c r="J1246" s="1370"/>
    </row>
    <row r="1247" spans="1:10" s="1622" customFormat="1" ht="16.5" customHeight="1">
      <c r="A1247" s="1631"/>
      <c r="B1247" s="2536"/>
      <c r="C1247" s="4723" t="s">
        <v>797</v>
      </c>
      <c r="D1247" s="4724"/>
      <c r="E1247" s="2814">
        <f>SUM(E1249:E1252)</f>
        <v>0</v>
      </c>
      <c r="F1247" s="2815">
        <f>SUM(F1249:F1252)</f>
        <v>3027000</v>
      </c>
      <c r="G1247" s="2816">
        <f>SUM(G1249:G1252)</f>
        <v>0</v>
      </c>
      <c r="H1247" s="2817">
        <f t="shared" ref="H1247:H1252" si="80">G1247/F1247</f>
        <v>0</v>
      </c>
      <c r="J1247" s="1370"/>
    </row>
    <row r="1248" spans="1:10" s="1622" customFormat="1" ht="51" hidden="1" customHeight="1">
      <c r="A1248" s="1631"/>
      <c r="B1248" s="2536"/>
      <c r="C1248" s="2822" t="s">
        <v>374</v>
      </c>
      <c r="D1248" s="2823" t="s">
        <v>817</v>
      </c>
      <c r="E1248" s="2814">
        <v>0</v>
      </c>
      <c r="F1248" s="2824"/>
      <c r="G1248" s="2419"/>
      <c r="H1248" s="2817" t="e">
        <f t="shared" si="80"/>
        <v>#DIV/0!</v>
      </c>
      <c r="J1248" s="1370"/>
    </row>
    <row r="1249" spans="1:10" s="1622" customFormat="1" ht="42.75" customHeight="1">
      <c r="A1249" s="1631"/>
      <c r="B1249" s="2536"/>
      <c r="C1249" s="2822" t="s">
        <v>1078</v>
      </c>
      <c r="D1249" s="2826" t="s">
        <v>1079</v>
      </c>
      <c r="E1249" s="2803">
        <v>0</v>
      </c>
      <c r="F1249" s="2762">
        <v>1746000</v>
      </c>
      <c r="G1249" s="2763">
        <v>0</v>
      </c>
      <c r="H1249" s="2756">
        <f t="shared" si="80"/>
        <v>0</v>
      </c>
      <c r="J1249" s="1370"/>
    </row>
    <row r="1250" spans="1:10" s="1622" customFormat="1" ht="42.75" customHeight="1">
      <c r="A1250" s="1631"/>
      <c r="B1250" s="2536"/>
      <c r="C1250" s="2827" t="s">
        <v>353</v>
      </c>
      <c r="D1250" s="2828" t="s">
        <v>932</v>
      </c>
      <c r="E1250" s="2829">
        <v>0</v>
      </c>
      <c r="F1250" s="2762">
        <v>775000</v>
      </c>
      <c r="G1250" s="2830">
        <v>0</v>
      </c>
      <c r="H1250" s="2756">
        <f t="shared" si="80"/>
        <v>0</v>
      </c>
      <c r="J1250" s="1370"/>
    </row>
    <row r="1251" spans="1:10" s="1622" customFormat="1" ht="27" customHeight="1">
      <c r="A1251" s="1631"/>
      <c r="B1251" s="2536"/>
      <c r="C1251" s="2831" t="s">
        <v>861</v>
      </c>
      <c r="D1251" s="2832" t="s">
        <v>1080</v>
      </c>
      <c r="E1251" s="2814">
        <v>0</v>
      </c>
      <c r="F1251" s="2762">
        <v>6000</v>
      </c>
      <c r="G1251" s="2830">
        <v>0</v>
      </c>
      <c r="H1251" s="2756">
        <f t="shared" si="80"/>
        <v>0</v>
      </c>
      <c r="J1251" s="1370"/>
    </row>
    <row r="1252" spans="1:10" s="1622" customFormat="1" ht="27" customHeight="1">
      <c r="A1252" s="1631"/>
      <c r="B1252" s="2536"/>
      <c r="C1252" s="2831" t="s">
        <v>1081</v>
      </c>
      <c r="D1252" s="2833" t="s">
        <v>1082</v>
      </c>
      <c r="E1252" s="2834">
        <v>0</v>
      </c>
      <c r="F1252" s="2762">
        <v>500000</v>
      </c>
      <c r="G1252" s="2835">
        <v>0</v>
      </c>
      <c r="H1252" s="2756">
        <f t="shared" si="80"/>
        <v>0</v>
      </c>
      <c r="J1252" s="1370"/>
    </row>
    <row r="1253" spans="1:10" s="1622" customFormat="1" ht="15" customHeight="1">
      <c r="A1253" s="1653"/>
      <c r="B1253" s="1637"/>
      <c r="C1253" s="2831"/>
      <c r="D1253" s="2832"/>
      <c r="E1253" s="2836"/>
      <c r="F1253" s="2762"/>
      <c r="G1253" s="2830"/>
      <c r="H1253" s="2756"/>
      <c r="J1253" s="1370"/>
    </row>
    <row r="1254" spans="1:10" s="1622" customFormat="1" ht="15">
      <c r="A1254" s="1631"/>
      <c r="B1254" s="2536"/>
      <c r="C1254" s="4706" t="s">
        <v>744</v>
      </c>
      <c r="D1254" s="4707"/>
      <c r="E1254" s="1633">
        <f>SUM(E1255)</f>
        <v>0</v>
      </c>
      <c r="F1254" s="1634">
        <f>SUM(F1255)</f>
        <v>575000</v>
      </c>
      <c r="G1254" s="2349">
        <f>SUM(G1255)</f>
        <v>0</v>
      </c>
      <c r="H1254" s="1636">
        <f t="shared" ref="H1254:H1277" si="81">G1254/F1254</f>
        <v>0</v>
      </c>
      <c r="J1254" s="1370"/>
    </row>
    <row r="1255" spans="1:10" s="1622" customFormat="1" ht="15" customHeight="1">
      <c r="A1255" s="1631"/>
      <c r="B1255" s="2536"/>
      <c r="C1255" s="4708" t="s">
        <v>745</v>
      </c>
      <c r="D1255" s="4709"/>
      <c r="E1255" s="2814">
        <f>SUM(E1257:E1258)</f>
        <v>0</v>
      </c>
      <c r="F1255" s="2837">
        <f>SUM(F1257:F1258)</f>
        <v>575000</v>
      </c>
      <c r="G1255" s="2816">
        <f>SUM(G1257:G1258)</f>
        <v>0</v>
      </c>
      <c r="H1255" s="2756">
        <f t="shared" si="81"/>
        <v>0</v>
      </c>
      <c r="J1255" s="1370"/>
    </row>
    <row r="1256" spans="1:10" s="1622" customFormat="1" ht="39" hidden="1" customHeight="1">
      <c r="A1256" s="1631"/>
      <c r="B1256" s="2536"/>
      <c r="C1256" s="2838" t="s">
        <v>1075</v>
      </c>
      <c r="D1256" s="2832" t="s">
        <v>881</v>
      </c>
      <c r="E1256" s="2814">
        <v>0</v>
      </c>
      <c r="F1256" s="2837">
        <v>0</v>
      </c>
      <c r="G1256" s="2839">
        <v>0</v>
      </c>
      <c r="H1256" s="2756" t="e">
        <f t="shared" si="81"/>
        <v>#DIV/0!</v>
      </c>
      <c r="J1256" s="1370"/>
    </row>
    <row r="1257" spans="1:10" s="1622" customFormat="1" ht="42" customHeight="1">
      <c r="A1257" s="1631"/>
      <c r="B1257" s="2536"/>
      <c r="C1257" s="2838" t="s">
        <v>975</v>
      </c>
      <c r="D1257" s="2840" t="s">
        <v>976</v>
      </c>
      <c r="E1257" s="2836">
        <v>0</v>
      </c>
      <c r="F1257" s="2762">
        <v>500000</v>
      </c>
      <c r="G1257" s="2835">
        <v>0</v>
      </c>
      <c r="H1257" s="2756">
        <f t="shared" si="81"/>
        <v>0</v>
      </c>
      <c r="J1257" s="1370"/>
    </row>
    <row r="1258" spans="1:10" s="1622" customFormat="1" ht="43.5" customHeight="1" thickBot="1">
      <c r="A1258" s="1673"/>
      <c r="B1258" s="2841"/>
      <c r="C1258" s="2842" t="s">
        <v>880</v>
      </c>
      <c r="D1258" s="2843" t="s">
        <v>881</v>
      </c>
      <c r="E1258" s="2780">
        <v>0</v>
      </c>
      <c r="F1258" s="1676">
        <v>75000</v>
      </c>
      <c r="G1258" s="2781">
        <v>0</v>
      </c>
      <c r="H1258" s="1678">
        <f t="shared" si="81"/>
        <v>0</v>
      </c>
      <c r="J1258" s="1370"/>
    </row>
    <row r="1259" spans="1:10" ht="13.5" hidden="1" thickBot="1">
      <c r="A1259" s="1556"/>
      <c r="B1259" s="1557" t="s">
        <v>1083</v>
      </c>
      <c r="C1259" s="1558"/>
      <c r="D1259" s="2844" t="s">
        <v>312</v>
      </c>
      <c r="E1259" s="1560">
        <v>0</v>
      </c>
      <c r="F1259" s="1909"/>
      <c r="G1259" s="2368"/>
      <c r="H1259" s="1942" t="e">
        <f t="shared" si="81"/>
        <v>#DIV/0!</v>
      </c>
    </row>
    <row r="1260" spans="1:10" ht="0.75" hidden="1" customHeight="1" thickBot="1">
      <c r="A1260" s="1556"/>
      <c r="B1260" s="1750"/>
      <c r="C1260" s="4675" t="s">
        <v>688</v>
      </c>
      <c r="D1260" s="4675"/>
      <c r="E1260" s="2845">
        <v>0</v>
      </c>
      <c r="F1260" s="2805"/>
      <c r="G1260" s="2846"/>
      <c r="H1260" s="2807" t="e">
        <f t="shared" si="81"/>
        <v>#DIV/0!</v>
      </c>
    </row>
    <row r="1261" spans="1:10" ht="13.5" hidden="1" thickBot="1">
      <c r="A1261" s="1556"/>
      <c r="B1261" s="1750"/>
      <c r="C1261" s="4710" t="s">
        <v>797</v>
      </c>
      <c r="D1261" s="4710"/>
      <c r="E1261" s="2847">
        <v>0</v>
      </c>
      <c r="F1261" s="2805"/>
      <c r="G1261" s="2846"/>
      <c r="H1261" s="2807" t="e">
        <f t="shared" si="81"/>
        <v>#DIV/0!</v>
      </c>
    </row>
    <row r="1262" spans="1:10" ht="39" hidden="1" thickBot="1">
      <c r="A1262" s="1556"/>
      <c r="B1262" s="1750"/>
      <c r="C1262" s="2848" t="s">
        <v>353</v>
      </c>
      <c r="D1262" s="2849" t="s">
        <v>932</v>
      </c>
      <c r="E1262" s="2850">
        <v>0</v>
      </c>
      <c r="F1262" s="2805"/>
      <c r="G1262" s="2851"/>
      <c r="H1262" s="2852" t="e">
        <f t="shared" si="81"/>
        <v>#DIV/0!</v>
      </c>
    </row>
    <row r="1263" spans="1:10" ht="17.100000000000001" customHeight="1" thickBot="1">
      <c r="A1263" s="1595" t="s">
        <v>1084</v>
      </c>
      <c r="B1263" s="1596"/>
      <c r="C1263" s="1597"/>
      <c r="D1263" s="1598" t="s">
        <v>1085</v>
      </c>
      <c r="E1263" s="1599">
        <f>SUM(E1264,E1268)</f>
        <v>18747646</v>
      </c>
      <c r="F1263" s="1600">
        <f>SUM(F1264,F1268)</f>
        <v>18747646</v>
      </c>
      <c r="G1263" s="1601">
        <f>SUM(G1264,G1268)</f>
        <v>28587025</v>
      </c>
      <c r="H1263" s="2348">
        <f t="shared" si="81"/>
        <v>1.5248327710049572</v>
      </c>
    </row>
    <row r="1264" spans="1:10" s="1622" customFormat="1" ht="41.25" customHeight="1" thickBot="1">
      <c r="A1264" s="1631"/>
      <c r="B1264" s="1624" t="s">
        <v>1086</v>
      </c>
      <c r="C1264" s="1625"/>
      <c r="D1264" s="1626" t="s">
        <v>1087</v>
      </c>
      <c r="E1264" s="1627">
        <f t="shared" ref="E1264:G1266" si="82">SUM(E1265)</f>
        <v>7752608</v>
      </c>
      <c r="F1264" s="1628">
        <f t="shared" si="82"/>
        <v>7752608</v>
      </c>
      <c r="G1264" s="1629">
        <f t="shared" si="82"/>
        <v>12501292</v>
      </c>
      <c r="H1264" s="1630">
        <f t="shared" si="81"/>
        <v>1.6125272940409214</v>
      </c>
      <c r="J1264" s="1370"/>
    </row>
    <row r="1265" spans="1:10" s="1622" customFormat="1" ht="17.100000000000001" customHeight="1">
      <c r="A1265" s="1631"/>
      <c r="B1265" s="4416"/>
      <c r="C1265" s="4711" t="s">
        <v>688</v>
      </c>
      <c r="D1265" s="4712"/>
      <c r="E1265" s="1977">
        <f t="shared" si="82"/>
        <v>7752608</v>
      </c>
      <c r="F1265" s="1978">
        <f t="shared" si="82"/>
        <v>7752608</v>
      </c>
      <c r="G1265" s="1979">
        <f t="shared" si="82"/>
        <v>12501292</v>
      </c>
      <c r="H1265" s="1636">
        <f t="shared" si="81"/>
        <v>1.6125272940409214</v>
      </c>
      <c r="J1265" s="1370"/>
    </row>
    <row r="1266" spans="1:10" s="1622" customFormat="1" ht="17.100000000000001" customHeight="1">
      <c r="A1266" s="1631"/>
      <c r="B1266" s="4416"/>
      <c r="C1266" s="4713" t="s">
        <v>1088</v>
      </c>
      <c r="D1266" s="4701"/>
      <c r="E1266" s="2834">
        <f t="shared" si="82"/>
        <v>7752608</v>
      </c>
      <c r="F1266" s="2853">
        <f t="shared" si="82"/>
        <v>7752608</v>
      </c>
      <c r="G1266" s="2854">
        <f t="shared" si="82"/>
        <v>12501292</v>
      </c>
      <c r="H1266" s="2756">
        <f t="shared" si="81"/>
        <v>1.6125272940409214</v>
      </c>
      <c r="J1266" s="1370"/>
    </row>
    <row r="1267" spans="1:10" s="1622" customFormat="1" ht="29.25" customHeight="1" thickBot="1">
      <c r="A1267" s="1631"/>
      <c r="B1267" s="4439"/>
      <c r="C1267" s="2855" t="s">
        <v>1089</v>
      </c>
      <c r="D1267" s="2856" t="s">
        <v>1090</v>
      </c>
      <c r="E1267" s="2780">
        <v>7752608</v>
      </c>
      <c r="F1267" s="1676">
        <v>7752608</v>
      </c>
      <c r="G1267" s="2781">
        <v>12501292</v>
      </c>
      <c r="H1267" s="1678">
        <f t="shared" si="81"/>
        <v>1.6125272940409214</v>
      </c>
      <c r="J1267" s="1370"/>
    </row>
    <row r="1268" spans="1:10" s="1622" customFormat="1" ht="26.25" customHeight="1" thickBot="1">
      <c r="A1268" s="1653"/>
      <c r="B1268" s="1624" t="s">
        <v>1091</v>
      </c>
      <c r="C1268" s="1625"/>
      <c r="D1268" s="1626" t="s">
        <v>1092</v>
      </c>
      <c r="E1268" s="1627">
        <f t="shared" ref="E1268:G1270" si="83">SUM(E1269)</f>
        <v>10995038</v>
      </c>
      <c r="F1268" s="1628">
        <f t="shared" si="83"/>
        <v>10995038</v>
      </c>
      <c r="G1268" s="1629">
        <f t="shared" si="83"/>
        <v>16085733</v>
      </c>
      <c r="H1268" s="1630">
        <f t="shared" si="81"/>
        <v>1.4629993093248064</v>
      </c>
      <c r="J1268" s="1370"/>
    </row>
    <row r="1269" spans="1:10" s="1622" customFormat="1" ht="17.100000000000001" customHeight="1">
      <c r="A1269" s="2522"/>
      <c r="B1269" s="4416"/>
      <c r="C1269" s="4700" t="s">
        <v>688</v>
      </c>
      <c r="D1269" s="4700"/>
      <c r="E1269" s="1977">
        <f t="shared" si="83"/>
        <v>10995038</v>
      </c>
      <c r="F1269" s="1978">
        <f t="shared" si="83"/>
        <v>10995038</v>
      </c>
      <c r="G1269" s="1979">
        <f t="shared" si="83"/>
        <v>16085733</v>
      </c>
      <c r="H1269" s="1636">
        <f t="shared" si="81"/>
        <v>1.4629993093248064</v>
      </c>
      <c r="J1269" s="1370"/>
    </row>
    <row r="1270" spans="1:10" s="1622" customFormat="1" ht="17.100000000000001" customHeight="1">
      <c r="A1270" s="2522"/>
      <c r="B1270" s="4416"/>
      <c r="C1270" s="4701" t="s">
        <v>1093</v>
      </c>
      <c r="D1270" s="4701"/>
      <c r="E1270" s="2834">
        <f t="shared" si="83"/>
        <v>10995038</v>
      </c>
      <c r="F1270" s="2853">
        <f t="shared" si="83"/>
        <v>10995038</v>
      </c>
      <c r="G1270" s="2854">
        <f t="shared" si="83"/>
        <v>16085733</v>
      </c>
      <c r="H1270" s="2756">
        <f t="shared" si="81"/>
        <v>1.4629993093248064</v>
      </c>
      <c r="J1270" s="1370"/>
    </row>
    <row r="1271" spans="1:10" s="1622" customFormat="1" ht="17.100000000000001" customHeight="1" thickBot="1">
      <c r="A1271" s="1673"/>
      <c r="B1271" s="4439"/>
      <c r="C1271" s="2857" t="s">
        <v>1094</v>
      </c>
      <c r="D1271" s="2856" t="s">
        <v>1095</v>
      </c>
      <c r="E1271" s="2780">
        <v>10995038</v>
      </c>
      <c r="F1271" s="1676">
        <v>10995038</v>
      </c>
      <c r="G1271" s="2781">
        <v>16085733</v>
      </c>
      <c r="H1271" s="1678">
        <f t="shared" si="81"/>
        <v>1.4629993093248064</v>
      </c>
      <c r="J1271" s="1370"/>
    </row>
    <row r="1272" spans="1:10" ht="17.100000000000001" customHeight="1" thickBot="1">
      <c r="A1272" s="1595" t="s">
        <v>1096</v>
      </c>
      <c r="B1272" s="1401"/>
      <c r="C1272" s="1402"/>
      <c r="D1272" s="2858" t="s">
        <v>1097</v>
      </c>
      <c r="E1272" s="2097">
        <f>SUM(E1273)</f>
        <v>86048000</v>
      </c>
      <c r="F1272" s="2098">
        <f>SUM(F1273)</f>
        <v>51262146</v>
      </c>
      <c r="G1272" s="2099">
        <f>SUM(G1273)</f>
        <v>102260000</v>
      </c>
      <c r="H1272" s="2348">
        <f t="shared" si="81"/>
        <v>1.9948443048014417</v>
      </c>
    </row>
    <row r="1273" spans="1:10" ht="17.100000000000001" customHeight="1" thickBot="1">
      <c r="A1273" s="1408"/>
      <c r="B1273" s="1500" t="s">
        <v>1098</v>
      </c>
      <c r="C1273" s="1501"/>
      <c r="D1273" s="2598" t="s">
        <v>1099</v>
      </c>
      <c r="E1273" s="1503">
        <f>SUM(E1274,E1279)</f>
        <v>86048000</v>
      </c>
      <c r="F1273" s="1504">
        <f>SUM(F1274,F1279)</f>
        <v>51262146</v>
      </c>
      <c r="G1273" s="1505">
        <f>SUM(G1274,G1279)</f>
        <v>102260000</v>
      </c>
      <c r="H1273" s="1506">
        <f t="shared" si="81"/>
        <v>1.9948443048014417</v>
      </c>
      <c r="I1273" s="2859"/>
    </row>
    <row r="1274" spans="1:10" ht="17.100000000000001" customHeight="1">
      <c r="A1274" s="1408"/>
      <c r="B1274" s="1548"/>
      <c r="C1274" s="4678" t="s">
        <v>688</v>
      </c>
      <c r="D1274" s="4686"/>
      <c r="E1274" s="2860">
        <f t="shared" ref="E1274:G1276" si="84">SUM(E1275)</f>
        <v>29348000</v>
      </c>
      <c r="F1274" s="1418">
        <f t="shared" si="84"/>
        <v>16652018</v>
      </c>
      <c r="G1274" s="2861">
        <f t="shared" si="84"/>
        <v>40660000</v>
      </c>
      <c r="H1274" s="1509">
        <f t="shared" si="81"/>
        <v>2.4417460994817564</v>
      </c>
      <c r="I1274" s="2859"/>
    </row>
    <row r="1275" spans="1:10" ht="17.100000000000001" customHeight="1">
      <c r="A1275" s="1408"/>
      <c r="B1275" s="1548"/>
      <c r="C1275" s="4702" t="s">
        <v>689</v>
      </c>
      <c r="D1275" s="4703"/>
      <c r="E1275" s="2862">
        <f t="shared" si="84"/>
        <v>29348000</v>
      </c>
      <c r="F1275" s="2790">
        <f t="shared" si="84"/>
        <v>16652018</v>
      </c>
      <c r="G1275" s="2863">
        <f t="shared" si="84"/>
        <v>40660000</v>
      </c>
      <c r="H1275" s="2792">
        <f t="shared" si="81"/>
        <v>2.4417460994817564</v>
      </c>
      <c r="I1275" s="2859"/>
    </row>
    <row r="1276" spans="1:10" ht="17.100000000000001" customHeight="1">
      <c r="A1276" s="1408"/>
      <c r="B1276" s="1548"/>
      <c r="C1276" s="4704" t="s">
        <v>704</v>
      </c>
      <c r="D1276" s="4705"/>
      <c r="E1276" s="2864">
        <f t="shared" si="84"/>
        <v>29348000</v>
      </c>
      <c r="F1276" s="2865">
        <f t="shared" si="84"/>
        <v>16652018</v>
      </c>
      <c r="G1276" s="2866">
        <f t="shared" si="84"/>
        <v>40660000</v>
      </c>
      <c r="H1276" s="2867">
        <f t="shared" si="81"/>
        <v>2.4417460994817564</v>
      </c>
      <c r="I1276" s="2859"/>
    </row>
    <row r="1277" spans="1:10" ht="17.100000000000001" customHeight="1">
      <c r="A1277" s="1408"/>
      <c r="B1277" s="1548"/>
      <c r="C1277" s="2868" t="s">
        <v>1100</v>
      </c>
      <c r="D1277" s="2869" t="s">
        <v>1101</v>
      </c>
      <c r="E1277" s="2870">
        <v>29348000</v>
      </c>
      <c r="F1277" s="2790">
        <v>16652018</v>
      </c>
      <c r="G1277" s="2871">
        <f>40860000-200000</f>
        <v>40660000</v>
      </c>
      <c r="H1277" s="2792">
        <f t="shared" si="81"/>
        <v>2.4417460994817564</v>
      </c>
      <c r="I1277" s="2859"/>
    </row>
    <row r="1278" spans="1:10" ht="11.25" customHeight="1" thickBot="1">
      <c r="A1278" s="1516"/>
      <c r="B1278" s="2872"/>
      <c r="C1278" s="2873"/>
      <c r="D1278" s="2874"/>
      <c r="E1278" s="2875"/>
      <c r="F1278" s="1538"/>
      <c r="G1278" s="2747"/>
      <c r="H1278" s="1540"/>
      <c r="I1278" s="2859"/>
    </row>
    <row r="1279" spans="1:10" ht="17.100000000000001" customHeight="1">
      <c r="A1279" s="1585"/>
      <c r="B1279" s="1806"/>
      <c r="C1279" s="4689" t="s">
        <v>744</v>
      </c>
      <c r="D1279" s="4690"/>
      <c r="E1279" s="2135">
        <f t="shared" ref="E1279:G1280" si="85">SUM(E1280)</f>
        <v>56700000</v>
      </c>
      <c r="F1279" s="2136">
        <f t="shared" si="85"/>
        <v>34610128</v>
      </c>
      <c r="G1279" s="2137">
        <f t="shared" si="85"/>
        <v>61600000</v>
      </c>
      <c r="H1279" s="1420">
        <f t="shared" ref="H1279:H1286" si="86">G1279/F1279</f>
        <v>1.7798258359518346</v>
      </c>
      <c r="I1279" s="2859"/>
    </row>
    <row r="1280" spans="1:10" ht="17.100000000000001" customHeight="1">
      <c r="A1280" s="1408"/>
      <c r="B1280" s="1548"/>
      <c r="C1280" s="4668" t="s">
        <v>745</v>
      </c>
      <c r="D1280" s="4691"/>
      <c r="E1280" s="2870">
        <f t="shared" si="85"/>
        <v>56700000</v>
      </c>
      <c r="F1280" s="2876">
        <f t="shared" si="85"/>
        <v>34610128</v>
      </c>
      <c r="G1280" s="2877">
        <f t="shared" si="85"/>
        <v>61600000</v>
      </c>
      <c r="H1280" s="2792">
        <f t="shared" si="86"/>
        <v>1.7798258359518346</v>
      </c>
      <c r="I1280" s="2859"/>
    </row>
    <row r="1281" spans="1:8" ht="17.100000000000001" customHeight="1" thickBot="1">
      <c r="A1281" s="1516"/>
      <c r="B1281" s="2872"/>
      <c r="C1281" s="2144" t="s">
        <v>1102</v>
      </c>
      <c r="D1281" s="2878" t="s">
        <v>1103</v>
      </c>
      <c r="E1281" s="2800">
        <v>56700000</v>
      </c>
      <c r="F1281" s="1538">
        <v>34610128</v>
      </c>
      <c r="G1281" s="2747">
        <v>61600000</v>
      </c>
      <c r="H1281" s="1540">
        <f t="shared" si="86"/>
        <v>1.7798258359518346</v>
      </c>
    </row>
    <row r="1282" spans="1:8" ht="16.5" customHeight="1" thickBot="1">
      <c r="A1282" s="1595" t="s">
        <v>1104</v>
      </c>
      <c r="B1282" s="1596"/>
      <c r="C1282" s="2879"/>
      <c r="D1282" s="2880" t="s">
        <v>1105</v>
      </c>
      <c r="E1282" s="1599">
        <f>SUM(E1283,E1291,E1327,E1356,E1376,E1438,E1525,E1611)</f>
        <v>54167144</v>
      </c>
      <c r="F1282" s="1600">
        <f>SUM(F1283,F1291,F1327,F1356,F1376,F1438,F1525,F1611)</f>
        <v>59010998</v>
      </c>
      <c r="G1282" s="1601">
        <f>SUM(G1283,G1291,G1327,G1356,G1376,G1438,G1525,G1611)</f>
        <v>59829087</v>
      </c>
      <c r="H1282" s="1602">
        <f t="shared" si="86"/>
        <v>1.0138633310353435</v>
      </c>
    </row>
    <row r="1283" spans="1:8" s="1370" customFormat="1" ht="16.5" customHeight="1" thickBot="1">
      <c r="A1283" s="2258"/>
      <c r="B1283" s="2259" t="s">
        <v>1106</v>
      </c>
      <c r="C1283" s="1501"/>
      <c r="D1283" s="1502" t="s">
        <v>1107</v>
      </c>
      <c r="E1283" s="1503">
        <f>SUM(E1284,E1288)</f>
        <v>0</v>
      </c>
      <c r="F1283" s="1504">
        <f>SUM(F1284,F1288)</f>
        <v>28762</v>
      </c>
      <c r="G1283" s="1505">
        <f>SUM(G1284,G1288)</f>
        <v>0</v>
      </c>
      <c r="H1283" s="1506">
        <f t="shared" si="86"/>
        <v>0</v>
      </c>
    </row>
    <row r="1284" spans="1:8" s="1370" customFormat="1" ht="14.25" customHeight="1">
      <c r="A1284" s="2245"/>
      <c r="B1284" s="4692"/>
      <c r="C1284" s="4678" t="s">
        <v>688</v>
      </c>
      <c r="D1284" s="4686"/>
      <c r="E1284" s="2881">
        <f t="shared" ref="E1284:G1285" si="87">SUM(E1285)</f>
        <v>0</v>
      </c>
      <c r="F1284" s="2882">
        <f t="shared" si="87"/>
        <v>16762</v>
      </c>
      <c r="G1284" s="2883">
        <f t="shared" si="87"/>
        <v>0</v>
      </c>
      <c r="H1284" s="1509">
        <f t="shared" si="86"/>
        <v>0</v>
      </c>
    </row>
    <row r="1285" spans="1:8" s="1370" customFormat="1" ht="15.75" customHeight="1">
      <c r="A1285" s="2245"/>
      <c r="B1285" s="4693"/>
      <c r="C1285" s="4668" t="s">
        <v>797</v>
      </c>
      <c r="D1285" s="4696"/>
      <c r="E1285" s="2884">
        <f t="shared" si="87"/>
        <v>0</v>
      </c>
      <c r="F1285" s="2790">
        <f t="shared" si="87"/>
        <v>16762</v>
      </c>
      <c r="G1285" s="2885">
        <f t="shared" si="87"/>
        <v>0</v>
      </c>
      <c r="H1285" s="2792">
        <f t="shared" si="86"/>
        <v>0</v>
      </c>
    </row>
    <row r="1286" spans="1:8" s="1370" customFormat="1" ht="45" customHeight="1">
      <c r="A1286" s="2245"/>
      <c r="B1286" s="4693"/>
      <c r="C1286" s="2886" t="s">
        <v>353</v>
      </c>
      <c r="D1286" s="2887" t="s">
        <v>932</v>
      </c>
      <c r="E1286" s="2870">
        <v>0</v>
      </c>
      <c r="F1286" s="2790">
        <v>16762</v>
      </c>
      <c r="G1286" s="2871">
        <v>0</v>
      </c>
      <c r="H1286" s="2792">
        <f t="shared" si="86"/>
        <v>0</v>
      </c>
    </row>
    <row r="1287" spans="1:8" s="1370" customFormat="1" ht="13.5" customHeight="1">
      <c r="A1287" s="2245"/>
      <c r="B1287" s="4693"/>
      <c r="C1287" s="4697"/>
      <c r="D1287" s="4697"/>
      <c r="E1287" s="2888"/>
      <c r="F1287" s="2790"/>
      <c r="G1287" s="2871"/>
      <c r="H1287" s="2792"/>
    </row>
    <row r="1288" spans="1:8" s="1370" customFormat="1" ht="16.5" customHeight="1">
      <c r="A1288" s="2245"/>
      <c r="B1288" s="4694"/>
      <c r="C1288" s="4698" t="s">
        <v>744</v>
      </c>
      <c r="D1288" s="4699"/>
      <c r="E1288" s="2889">
        <f t="shared" ref="E1288:G1289" si="88">SUM(E1289)</f>
        <v>0</v>
      </c>
      <c r="F1288" s="2089">
        <f t="shared" si="88"/>
        <v>12000</v>
      </c>
      <c r="G1288" s="2890">
        <f t="shared" si="88"/>
        <v>0</v>
      </c>
      <c r="H1288" s="2797">
        <f t="shared" ref="H1288:H1302" si="89">G1288/F1288</f>
        <v>0</v>
      </c>
    </row>
    <row r="1289" spans="1:8" s="1370" customFormat="1" ht="16.5" customHeight="1">
      <c r="A1289" s="2245"/>
      <c r="B1289" s="4694"/>
      <c r="C1289" s="4668" t="s">
        <v>745</v>
      </c>
      <c r="D1289" s="4691"/>
      <c r="E1289" s="2891">
        <f t="shared" si="88"/>
        <v>0</v>
      </c>
      <c r="F1289" s="2892">
        <f t="shared" si="88"/>
        <v>12000</v>
      </c>
      <c r="G1289" s="2893">
        <f t="shared" si="88"/>
        <v>0</v>
      </c>
      <c r="H1289" s="2792">
        <f t="shared" si="89"/>
        <v>0</v>
      </c>
    </row>
    <row r="1290" spans="1:8" s="1370" customFormat="1" ht="45" customHeight="1" thickBot="1">
      <c r="A1290" s="2245"/>
      <c r="B1290" s="4695"/>
      <c r="C1290" s="1478" t="s">
        <v>880</v>
      </c>
      <c r="D1290" s="2122" t="s">
        <v>881</v>
      </c>
      <c r="E1290" s="2894">
        <v>0</v>
      </c>
      <c r="F1290" s="2790">
        <v>12000</v>
      </c>
      <c r="G1290" s="2871">
        <v>0</v>
      </c>
      <c r="H1290" s="2895">
        <f t="shared" si="89"/>
        <v>0</v>
      </c>
    </row>
    <row r="1291" spans="1:8" ht="17.100000000000001" customHeight="1" thickBot="1">
      <c r="A1291" s="2896"/>
      <c r="B1291" s="1500" t="s">
        <v>1108</v>
      </c>
      <c r="C1291" s="1501"/>
      <c r="D1291" s="1502" t="s">
        <v>531</v>
      </c>
      <c r="E1291" s="1503">
        <f>SUM(E1292)</f>
        <v>7261371</v>
      </c>
      <c r="F1291" s="1504">
        <f>SUM(F1292)</f>
        <v>7372115</v>
      </c>
      <c r="G1291" s="1505">
        <f>SUM(G1292)</f>
        <v>7749234</v>
      </c>
      <c r="H1291" s="1506">
        <f t="shared" si="89"/>
        <v>1.0511547907215228</v>
      </c>
    </row>
    <row r="1292" spans="1:8" ht="17.100000000000001" customHeight="1">
      <c r="A1292" s="1408"/>
      <c r="B1292" s="1429"/>
      <c r="C1292" s="4678" t="s">
        <v>688</v>
      </c>
      <c r="D1292" s="4678"/>
      <c r="E1292" s="2860">
        <f>SUM(E1293,E1321)</f>
        <v>7261371</v>
      </c>
      <c r="F1292" s="1418">
        <f>SUM(F1293,F1321)</f>
        <v>7372115</v>
      </c>
      <c r="G1292" s="2216">
        <f>SUM(G1293,G1321)</f>
        <v>7749234</v>
      </c>
      <c r="H1292" s="1509">
        <f t="shared" si="89"/>
        <v>1.0511547907215228</v>
      </c>
    </row>
    <row r="1293" spans="1:8" ht="17.100000000000001" customHeight="1">
      <c r="A1293" s="1408"/>
      <c r="B1293" s="1429"/>
      <c r="C1293" s="4664" t="s">
        <v>689</v>
      </c>
      <c r="D1293" s="4664"/>
      <c r="E1293" s="2884">
        <f>SUM(E1294,E1304)</f>
        <v>7187521</v>
      </c>
      <c r="F1293" s="2790">
        <f>SUM(F1294,F1304)</f>
        <v>7222265</v>
      </c>
      <c r="G1293" s="2885">
        <f>SUM(G1294,G1304)</f>
        <v>7682216</v>
      </c>
      <c r="H1293" s="2792">
        <f t="shared" si="89"/>
        <v>1.0636851458649053</v>
      </c>
    </row>
    <row r="1294" spans="1:8" ht="17.100000000000001" customHeight="1">
      <c r="A1294" s="1408"/>
      <c r="B1294" s="1429"/>
      <c r="C1294" s="4665" t="s">
        <v>690</v>
      </c>
      <c r="D1294" s="4665"/>
      <c r="E1294" s="2897">
        <f>SUM(E1295:E1302)</f>
        <v>6743045</v>
      </c>
      <c r="F1294" s="2865">
        <f>SUM(F1295:F1302)</f>
        <v>6772869</v>
      </c>
      <c r="G1294" s="2866">
        <f>SUM(G1295:G1302)</f>
        <v>7154995</v>
      </c>
      <c r="H1294" s="2867">
        <f t="shared" si="89"/>
        <v>1.0564201079335802</v>
      </c>
    </row>
    <row r="1295" spans="1:8" ht="17.100000000000001" customHeight="1">
      <c r="A1295" s="1408"/>
      <c r="B1295" s="1429"/>
      <c r="C1295" s="2898" t="s">
        <v>692</v>
      </c>
      <c r="D1295" s="2899" t="s">
        <v>693</v>
      </c>
      <c r="E1295" s="2900">
        <v>636409</v>
      </c>
      <c r="F1295" s="2790">
        <v>636409</v>
      </c>
      <c r="G1295" s="2901">
        <v>746282</v>
      </c>
      <c r="H1295" s="2792">
        <f t="shared" si="89"/>
        <v>1.1726452642875886</v>
      </c>
    </row>
    <row r="1296" spans="1:8" ht="17.100000000000001" customHeight="1">
      <c r="A1296" s="1408"/>
      <c r="B1296" s="1429"/>
      <c r="C1296" s="2898" t="s">
        <v>694</v>
      </c>
      <c r="D1296" s="2899" t="s">
        <v>695</v>
      </c>
      <c r="E1296" s="2900">
        <v>42690</v>
      </c>
      <c r="F1296" s="2790">
        <v>37766</v>
      </c>
      <c r="G1296" s="2901">
        <v>49018</v>
      </c>
      <c r="H1296" s="2792">
        <f t="shared" si="89"/>
        <v>1.2979399459831595</v>
      </c>
    </row>
    <row r="1297" spans="1:8" ht="17.100000000000001" customHeight="1">
      <c r="A1297" s="1408"/>
      <c r="B1297" s="1429"/>
      <c r="C1297" s="2898" t="s">
        <v>696</v>
      </c>
      <c r="D1297" s="2899" t="s">
        <v>697</v>
      </c>
      <c r="E1297" s="2900">
        <v>1024938</v>
      </c>
      <c r="F1297" s="2790">
        <v>1022495</v>
      </c>
      <c r="G1297" s="2901">
        <v>1041588</v>
      </c>
      <c r="H1297" s="2792">
        <f t="shared" si="89"/>
        <v>1.0186729519459752</v>
      </c>
    </row>
    <row r="1298" spans="1:8" ht="17.100000000000001" customHeight="1">
      <c r="A1298" s="1408"/>
      <c r="B1298" s="1429"/>
      <c r="C1298" s="2898" t="s">
        <v>698</v>
      </c>
      <c r="D1298" s="2899" t="s">
        <v>699</v>
      </c>
      <c r="E1298" s="2900">
        <v>137683</v>
      </c>
      <c r="F1298" s="2790">
        <v>137683</v>
      </c>
      <c r="G1298" s="2901">
        <v>139398</v>
      </c>
      <c r="H1298" s="2792">
        <f t="shared" si="89"/>
        <v>1.0124561492704256</v>
      </c>
    </row>
    <row r="1299" spans="1:8" ht="17.100000000000001" customHeight="1">
      <c r="A1299" s="1408"/>
      <c r="B1299" s="1429"/>
      <c r="C1299" s="2898" t="s">
        <v>700</v>
      </c>
      <c r="D1299" s="2899" t="s">
        <v>1109</v>
      </c>
      <c r="E1299" s="2900">
        <v>10800</v>
      </c>
      <c r="F1299" s="2790">
        <v>11800</v>
      </c>
      <c r="G1299" s="2901">
        <v>12420</v>
      </c>
      <c r="H1299" s="2792">
        <f t="shared" si="89"/>
        <v>1.0525423728813559</v>
      </c>
    </row>
    <row r="1300" spans="1:8" ht="17.100000000000001" customHeight="1">
      <c r="A1300" s="1408"/>
      <c r="B1300" s="1429"/>
      <c r="C1300" s="2902" t="s">
        <v>702</v>
      </c>
      <c r="D1300" s="2903" t="s">
        <v>703</v>
      </c>
      <c r="E1300" s="2900">
        <v>17368</v>
      </c>
      <c r="F1300" s="2790">
        <v>17368</v>
      </c>
      <c r="G1300" s="2901">
        <v>17518</v>
      </c>
      <c r="H1300" s="2792">
        <f t="shared" si="89"/>
        <v>1.0086365730078304</v>
      </c>
    </row>
    <row r="1301" spans="1:8" ht="17.100000000000001" customHeight="1">
      <c r="A1301" s="1429"/>
      <c r="B1301" s="1429"/>
      <c r="C1301" s="2230" t="s">
        <v>1110</v>
      </c>
      <c r="D1301" s="2231" t="s">
        <v>1111</v>
      </c>
      <c r="E1301" s="2285">
        <v>4496176</v>
      </c>
      <c r="F1301" s="1451">
        <v>4530920</v>
      </c>
      <c r="G1301" s="2300">
        <v>4765551</v>
      </c>
      <c r="H1301" s="1453">
        <f t="shared" si="89"/>
        <v>1.0517844058160373</v>
      </c>
    </row>
    <row r="1302" spans="1:8" ht="17.100000000000001" customHeight="1">
      <c r="A1302" s="1408"/>
      <c r="B1302" s="1429"/>
      <c r="C1302" s="2898" t="s">
        <v>1112</v>
      </c>
      <c r="D1302" s="2899" t="s">
        <v>1113</v>
      </c>
      <c r="E1302" s="2900">
        <v>376981</v>
      </c>
      <c r="F1302" s="2790">
        <v>378428</v>
      </c>
      <c r="G1302" s="2901">
        <v>383220</v>
      </c>
      <c r="H1302" s="2792">
        <f t="shared" si="89"/>
        <v>1.0126629107782723</v>
      </c>
    </row>
    <row r="1303" spans="1:8" ht="17.100000000000001" customHeight="1">
      <c r="A1303" s="1408"/>
      <c r="B1303" s="1429"/>
      <c r="C1303" s="2904"/>
      <c r="D1303" s="2192"/>
      <c r="E1303" s="2904"/>
      <c r="F1303" s="2790"/>
      <c r="G1303" s="2901"/>
      <c r="H1303" s="2792"/>
    </row>
    <row r="1304" spans="1:8" ht="17.100000000000001" customHeight="1">
      <c r="A1304" s="1429"/>
      <c r="B1304" s="1429"/>
      <c r="C1304" s="4672" t="s">
        <v>704</v>
      </c>
      <c r="D1304" s="4672"/>
      <c r="E1304" s="1577">
        <f>SUM(E1306:E1319)</f>
        <v>444476</v>
      </c>
      <c r="F1304" s="1578">
        <f>SUM(F1306:F1319)</f>
        <v>449396</v>
      </c>
      <c r="G1304" s="2905">
        <f>SUM(G1306:G1319)</f>
        <v>527221</v>
      </c>
      <c r="H1304" s="2906">
        <f t="shared" ref="H1304:H1319" si="90">G1304/F1304</f>
        <v>1.1731768863096246</v>
      </c>
    </row>
    <row r="1305" spans="1:8" ht="17.100000000000001" hidden="1" customHeight="1">
      <c r="A1305" s="1408"/>
      <c r="B1305" s="1429"/>
      <c r="C1305" s="2898" t="s">
        <v>705</v>
      </c>
      <c r="D1305" s="2899" t="s">
        <v>706</v>
      </c>
      <c r="E1305" s="2907">
        <v>0</v>
      </c>
      <c r="F1305" s="2790"/>
      <c r="G1305" s="2901"/>
      <c r="H1305" s="2792" t="e">
        <f t="shared" si="90"/>
        <v>#DIV/0!</v>
      </c>
    </row>
    <row r="1306" spans="1:8" ht="17.100000000000001" customHeight="1">
      <c r="A1306" s="1408"/>
      <c r="B1306" s="1429"/>
      <c r="C1306" s="2898" t="s">
        <v>707</v>
      </c>
      <c r="D1306" s="2899" t="s">
        <v>708</v>
      </c>
      <c r="E1306" s="2907">
        <v>11309</v>
      </c>
      <c r="F1306" s="2790">
        <v>11309</v>
      </c>
      <c r="G1306" s="2901">
        <v>20005</v>
      </c>
      <c r="H1306" s="2792">
        <f t="shared" si="90"/>
        <v>1.7689450879830224</v>
      </c>
    </row>
    <row r="1307" spans="1:8" ht="17.100000000000001" customHeight="1">
      <c r="A1307" s="1408"/>
      <c r="B1307" s="1429"/>
      <c r="C1307" s="2898" t="s">
        <v>942</v>
      </c>
      <c r="D1307" s="2899" t="s">
        <v>943</v>
      </c>
      <c r="E1307" s="2907">
        <v>9283</v>
      </c>
      <c r="F1307" s="2790">
        <v>9283</v>
      </c>
      <c r="G1307" s="2901">
        <v>12878</v>
      </c>
      <c r="H1307" s="2792">
        <f t="shared" si="90"/>
        <v>1.3872670472907465</v>
      </c>
    </row>
    <row r="1308" spans="1:8" ht="17.100000000000001" customHeight="1">
      <c r="A1308" s="1408"/>
      <c r="B1308" s="1429"/>
      <c r="C1308" s="2898" t="s">
        <v>711</v>
      </c>
      <c r="D1308" s="2899" t="s">
        <v>712</v>
      </c>
      <c r="E1308" s="2907">
        <v>26400</v>
      </c>
      <c r="F1308" s="2790">
        <v>26400</v>
      </c>
      <c r="G1308" s="2901">
        <v>44880</v>
      </c>
      <c r="H1308" s="2792">
        <f t="shared" si="90"/>
        <v>1.7</v>
      </c>
    </row>
    <row r="1309" spans="1:8" ht="17.100000000000001" customHeight="1">
      <c r="A1309" s="1408"/>
      <c r="B1309" s="1429"/>
      <c r="C1309" s="2898" t="s">
        <v>713</v>
      </c>
      <c r="D1309" s="2899" t="s">
        <v>714</v>
      </c>
      <c r="E1309" s="2907">
        <v>3600</v>
      </c>
      <c r="F1309" s="2790">
        <v>3600</v>
      </c>
      <c r="G1309" s="2901">
        <v>4135</v>
      </c>
      <c r="H1309" s="2792">
        <f t="shared" si="90"/>
        <v>1.148611111111111</v>
      </c>
    </row>
    <row r="1310" spans="1:8" ht="17.100000000000001" customHeight="1">
      <c r="A1310" s="1408"/>
      <c r="B1310" s="1429"/>
      <c r="C1310" s="2868" t="s">
        <v>715</v>
      </c>
      <c r="D1310" s="2908" t="s">
        <v>716</v>
      </c>
      <c r="E1310" s="2907">
        <v>4096</v>
      </c>
      <c r="F1310" s="2790">
        <v>5261</v>
      </c>
      <c r="G1310" s="2901">
        <v>4750</v>
      </c>
      <c r="H1310" s="2792">
        <f t="shared" si="90"/>
        <v>0.90287017677247672</v>
      </c>
    </row>
    <row r="1311" spans="1:8" ht="17.100000000000001" customHeight="1">
      <c r="A1311" s="1408"/>
      <c r="B1311" s="1429"/>
      <c r="C1311" s="2909" t="s">
        <v>717</v>
      </c>
      <c r="D1311" s="2910" t="s">
        <v>718</v>
      </c>
      <c r="E1311" s="2907">
        <v>34176</v>
      </c>
      <c r="F1311" s="2790">
        <v>39096</v>
      </c>
      <c r="G1311" s="2901">
        <v>50808</v>
      </c>
      <c r="H1311" s="2792">
        <f t="shared" si="90"/>
        <v>1.2995702885205647</v>
      </c>
    </row>
    <row r="1312" spans="1:8" ht="16.5" customHeight="1">
      <c r="A1312" s="1408"/>
      <c r="B1312" s="1429"/>
      <c r="C1312" s="2909" t="s">
        <v>719</v>
      </c>
      <c r="D1312" s="2910" t="s">
        <v>720</v>
      </c>
      <c r="E1312" s="2907">
        <v>7100</v>
      </c>
      <c r="F1312" s="2790">
        <v>6080</v>
      </c>
      <c r="G1312" s="2901">
        <v>6817</v>
      </c>
      <c r="H1312" s="2792">
        <f t="shared" si="90"/>
        <v>1.1212171052631579</v>
      </c>
    </row>
    <row r="1313" spans="1:8" ht="24.75" customHeight="1">
      <c r="A1313" s="1429"/>
      <c r="B1313" s="1429"/>
      <c r="C1313" s="1472" t="s">
        <v>723</v>
      </c>
      <c r="D1313" s="2911" t="s">
        <v>724</v>
      </c>
      <c r="E1313" s="1577">
        <v>104886</v>
      </c>
      <c r="F1313" s="1451">
        <v>102946</v>
      </c>
      <c r="G1313" s="2300">
        <v>130425</v>
      </c>
      <c r="H1313" s="1453">
        <f t="shared" si="90"/>
        <v>1.2669263497367551</v>
      </c>
    </row>
    <row r="1314" spans="1:8" ht="17.100000000000001" customHeight="1">
      <c r="A1314" s="1408"/>
      <c r="B1314" s="1429"/>
      <c r="C1314" s="2230" t="s">
        <v>725</v>
      </c>
      <c r="D1314" s="2231" t="s">
        <v>726</v>
      </c>
      <c r="E1314" s="2864">
        <v>3225</v>
      </c>
      <c r="F1314" s="2790">
        <v>2060</v>
      </c>
      <c r="G1314" s="2696">
        <v>3708</v>
      </c>
      <c r="H1314" s="2792">
        <f t="shared" si="90"/>
        <v>1.8</v>
      </c>
    </row>
    <row r="1315" spans="1:8" ht="17.100000000000001" customHeight="1">
      <c r="A1315" s="1408"/>
      <c r="B1315" s="1429"/>
      <c r="C1315" s="2230" t="s">
        <v>727</v>
      </c>
      <c r="D1315" s="2231"/>
      <c r="E1315" s="2864"/>
      <c r="F1315" s="2790">
        <v>1020</v>
      </c>
      <c r="G1315" s="2696">
        <v>1903</v>
      </c>
      <c r="H1315" s="2792">
        <f t="shared" si="90"/>
        <v>1.865686274509804</v>
      </c>
    </row>
    <row r="1316" spans="1:8" ht="17.100000000000001" customHeight="1">
      <c r="A1316" s="1408"/>
      <c r="B1316" s="1429"/>
      <c r="C1316" s="2898" t="s">
        <v>729</v>
      </c>
      <c r="D1316" s="2899" t="s">
        <v>730</v>
      </c>
      <c r="E1316" s="2907">
        <v>236989</v>
      </c>
      <c r="F1316" s="2790">
        <v>236989</v>
      </c>
      <c r="G1316" s="2901">
        <v>241412</v>
      </c>
      <c r="H1316" s="2792">
        <f t="shared" si="90"/>
        <v>1.0186633134871239</v>
      </c>
    </row>
    <row r="1317" spans="1:8" ht="17.100000000000001" hidden="1" customHeight="1">
      <c r="A1317" s="1408"/>
      <c r="B1317" s="1429"/>
      <c r="C1317" s="2898" t="s">
        <v>847</v>
      </c>
      <c r="D1317" s="2899" t="s">
        <v>848</v>
      </c>
      <c r="E1317" s="2907">
        <v>0</v>
      </c>
      <c r="F1317" s="2790"/>
      <c r="G1317" s="2901">
        <v>0</v>
      </c>
      <c r="H1317" s="2792" t="e">
        <f t="shared" si="90"/>
        <v>#DIV/0!</v>
      </c>
    </row>
    <row r="1318" spans="1:8" ht="17.100000000000001" customHeight="1">
      <c r="A1318" s="1408"/>
      <c r="B1318" s="1429"/>
      <c r="C1318" s="2898" t="s">
        <v>815</v>
      </c>
      <c r="D1318" s="2899" t="s">
        <v>816</v>
      </c>
      <c r="E1318" s="2907">
        <v>0</v>
      </c>
      <c r="F1318" s="2790">
        <v>1940</v>
      </c>
      <c r="G1318" s="2901">
        <v>5500</v>
      </c>
      <c r="H1318" s="2792">
        <f t="shared" si="90"/>
        <v>2.8350515463917527</v>
      </c>
    </row>
    <row r="1319" spans="1:8" ht="17.25" customHeight="1">
      <c r="A1319" s="1408"/>
      <c r="B1319" s="4473"/>
      <c r="C1319" s="2898" t="s">
        <v>739</v>
      </c>
      <c r="D1319" s="2899" t="s">
        <v>740</v>
      </c>
      <c r="E1319" s="2907">
        <v>3412</v>
      </c>
      <c r="F1319" s="2790">
        <v>3412</v>
      </c>
      <c r="G1319" s="2901">
        <v>0</v>
      </c>
      <c r="H1319" s="2792">
        <f t="shared" si="90"/>
        <v>0</v>
      </c>
    </row>
    <row r="1320" spans="1:8" ht="17.100000000000001" customHeight="1">
      <c r="A1320" s="1408"/>
      <c r="B1320" s="4473"/>
      <c r="C1320" s="1470"/>
      <c r="D1320" s="1470"/>
      <c r="E1320" s="1454"/>
      <c r="F1320" s="2790"/>
      <c r="G1320" s="2901"/>
      <c r="H1320" s="2792"/>
    </row>
    <row r="1321" spans="1:8" ht="16.5" customHeight="1">
      <c r="A1321" s="1408"/>
      <c r="B1321" s="4473"/>
      <c r="C1321" s="4668" t="s">
        <v>1026</v>
      </c>
      <c r="D1321" s="4668"/>
      <c r="E1321" s="2900">
        <f>SUM(E1322)</f>
        <v>73850</v>
      </c>
      <c r="F1321" s="2790">
        <f>SUM(F1322)</f>
        <v>149850</v>
      </c>
      <c r="G1321" s="2912">
        <f>SUM(G1322)</f>
        <v>67018</v>
      </c>
      <c r="H1321" s="2792">
        <f t="shared" ref="H1321:H1366" si="91">G1321/F1321</f>
        <v>0.44723390056723389</v>
      </c>
    </row>
    <row r="1322" spans="1:8" ht="16.5" customHeight="1" thickBot="1">
      <c r="A1322" s="1408"/>
      <c r="B1322" s="4473"/>
      <c r="C1322" s="2868" t="s">
        <v>742</v>
      </c>
      <c r="D1322" s="2908" t="s">
        <v>743</v>
      </c>
      <c r="E1322" s="2913">
        <v>73850</v>
      </c>
      <c r="F1322" s="2790">
        <v>149850</v>
      </c>
      <c r="G1322" s="2901">
        <v>67018</v>
      </c>
      <c r="H1322" s="2792">
        <f t="shared" si="91"/>
        <v>0.44723390056723389</v>
      </c>
    </row>
    <row r="1323" spans="1:8" ht="16.5" hidden="1" customHeight="1" thickBot="1">
      <c r="A1323" s="1556"/>
      <c r="B1323" s="1750"/>
      <c r="C1323" s="2914"/>
      <c r="D1323" s="2915"/>
      <c r="E1323" s="2916"/>
      <c r="F1323" s="2805"/>
      <c r="G1323" s="2851"/>
      <c r="H1323" s="2807" t="e">
        <f t="shared" si="91"/>
        <v>#DIV/0!</v>
      </c>
    </row>
    <row r="1324" spans="1:8" ht="16.5" hidden="1" customHeight="1" thickBot="1">
      <c r="A1324" s="1556"/>
      <c r="B1324" s="1750"/>
      <c r="C1324" s="4604" t="s">
        <v>744</v>
      </c>
      <c r="D1324" s="4682"/>
      <c r="E1324" s="2917">
        <v>0</v>
      </c>
      <c r="F1324" s="2805"/>
      <c r="G1324" s="2851"/>
      <c r="H1324" s="2807" t="e">
        <f t="shared" si="91"/>
        <v>#DIV/0!</v>
      </c>
    </row>
    <row r="1325" spans="1:8" ht="16.5" hidden="1" customHeight="1" thickBot="1">
      <c r="A1325" s="1556"/>
      <c r="B1325" s="1750"/>
      <c r="C1325" s="4683" t="s">
        <v>745</v>
      </c>
      <c r="D1325" s="4684"/>
      <c r="E1325" s="2918">
        <v>0</v>
      </c>
      <c r="F1325" s="2805"/>
      <c r="G1325" s="2851"/>
      <c r="H1325" s="2807" t="e">
        <f t="shared" si="91"/>
        <v>#DIV/0!</v>
      </c>
    </row>
    <row r="1326" spans="1:8" ht="16.5" hidden="1" customHeight="1" thickBot="1">
      <c r="A1326" s="1556"/>
      <c r="B1326" s="1750"/>
      <c r="C1326" s="2919" t="s">
        <v>746</v>
      </c>
      <c r="D1326" s="2920" t="s">
        <v>801</v>
      </c>
      <c r="E1326" s="2921">
        <v>0</v>
      </c>
      <c r="F1326" s="2805"/>
      <c r="G1326" s="2851"/>
      <c r="H1326" s="2852" t="e">
        <f t="shared" si="91"/>
        <v>#DIV/0!</v>
      </c>
    </row>
    <row r="1327" spans="1:8" ht="16.5" customHeight="1" thickBot="1">
      <c r="A1327" s="1556"/>
      <c r="B1327" s="1500" t="s">
        <v>1114</v>
      </c>
      <c r="C1327" s="1501"/>
      <c r="D1327" s="1502" t="s">
        <v>1115</v>
      </c>
      <c r="E1327" s="1503">
        <f>SUM(E1331)</f>
        <v>0</v>
      </c>
      <c r="F1327" s="1504">
        <f>SUM(F1331)</f>
        <v>539940</v>
      </c>
      <c r="G1327" s="1505">
        <f>SUM(G1331)</f>
        <v>0</v>
      </c>
      <c r="H1327" s="1506">
        <f t="shared" si="91"/>
        <v>0</v>
      </c>
    </row>
    <row r="1328" spans="1:8" ht="16.5" hidden="1" customHeight="1" thickBot="1">
      <c r="A1328" s="1556"/>
      <c r="B1328" s="1429"/>
      <c r="C1328" s="4678" t="s">
        <v>688</v>
      </c>
      <c r="D1328" s="4678"/>
      <c r="E1328" s="1815">
        <v>0</v>
      </c>
      <c r="F1328" s="1816">
        <v>0</v>
      </c>
      <c r="G1328" s="1817">
        <v>0</v>
      </c>
      <c r="H1328" s="1509" t="e">
        <f t="shared" si="91"/>
        <v>#DIV/0!</v>
      </c>
    </row>
    <row r="1329" spans="1:8" ht="16.5" hidden="1" customHeight="1">
      <c r="A1329" s="1556"/>
      <c r="B1329" s="1429"/>
      <c r="C1329" s="4668" t="s">
        <v>797</v>
      </c>
      <c r="D1329" s="4668"/>
      <c r="E1329" s="2900">
        <v>0</v>
      </c>
      <c r="F1329" s="2790">
        <v>0</v>
      </c>
      <c r="G1329" s="2912">
        <v>0</v>
      </c>
      <c r="H1329" s="2797" t="e">
        <f t="shared" si="91"/>
        <v>#DIV/0!</v>
      </c>
    </row>
    <row r="1330" spans="1:8" ht="16.5" hidden="1" customHeight="1">
      <c r="A1330" s="1556"/>
      <c r="B1330" s="1429"/>
      <c r="C1330" s="2902" t="s">
        <v>353</v>
      </c>
      <c r="D1330" s="2903" t="s">
        <v>932</v>
      </c>
      <c r="E1330" s="2900">
        <v>0</v>
      </c>
      <c r="F1330" s="2790">
        <v>0</v>
      </c>
      <c r="G1330" s="2912">
        <v>0</v>
      </c>
      <c r="H1330" s="2797" t="e">
        <f t="shared" si="91"/>
        <v>#DIV/0!</v>
      </c>
    </row>
    <row r="1331" spans="1:8" ht="16.5" customHeight="1">
      <c r="A1331" s="1556"/>
      <c r="B1331" s="1429"/>
      <c r="C1331" s="4685" t="s">
        <v>744</v>
      </c>
      <c r="D1331" s="4686"/>
      <c r="E1331" s="1417">
        <f t="shared" ref="E1331:G1332" si="92">SUM(E1332)</f>
        <v>0</v>
      </c>
      <c r="F1331" s="1418">
        <f t="shared" si="92"/>
        <v>539940</v>
      </c>
      <c r="G1331" s="2216">
        <f t="shared" si="92"/>
        <v>0</v>
      </c>
      <c r="H1331" s="2922">
        <f t="shared" si="91"/>
        <v>0</v>
      </c>
    </row>
    <row r="1332" spans="1:8" ht="16.5" customHeight="1">
      <c r="A1332" s="1556"/>
      <c r="B1332" s="1429"/>
      <c r="C1332" s="4687" t="s">
        <v>745</v>
      </c>
      <c r="D1332" s="4688"/>
      <c r="E1332" s="2333">
        <f t="shared" si="92"/>
        <v>0</v>
      </c>
      <c r="F1332" s="2923">
        <f t="shared" si="92"/>
        <v>539940</v>
      </c>
      <c r="G1332" s="2924">
        <f t="shared" si="92"/>
        <v>0</v>
      </c>
      <c r="H1332" s="2925">
        <f t="shared" si="91"/>
        <v>0</v>
      </c>
    </row>
    <row r="1333" spans="1:8" ht="60" customHeight="1" thickBot="1">
      <c r="A1333" s="1556"/>
      <c r="B1333" s="1429"/>
      <c r="C1333" s="2926" t="s">
        <v>449</v>
      </c>
      <c r="D1333" s="2927" t="s">
        <v>842</v>
      </c>
      <c r="E1333" s="2746">
        <v>0</v>
      </c>
      <c r="F1333" s="2790">
        <v>539940</v>
      </c>
      <c r="G1333" s="2901">
        <v>0</v>
      </c>
      <c r="H1333" s="2792">
        <f t="shared" si="91"/>
        <v>0</v>
      </c>
    </row>
    <row r="1334" spans="1:8" ht="13.5" hidden="1" thickBot="1">
      <c r="A1334" s="1556"/>
      <c r="B1334" s="2496" t="s">
        <v>1116</v>
      </c>
      <c r="C1334" s="2497"/>
      <c r="D1334" s="2498" t="s">
        <v>1117</v>
      </c>
      <c r="E1334" s="2499">
        <v>0</v>
      </c>
      <c r="F1334" s="2805"/>
      <c r="G1334" s="2442"/>
      <c r="H1334" s="2807" t="e">
        <f t="shared" si="91"/>
        <v>#DIV/0!</v>
      </c>
    </row>
    <row r="1335" spans="1:8" ht="13.5" hidden="1" thickBot="1">
      <c r="A1335" s="1556"/>
      <c r="B1335" s="4679"/>
      <c r="C1335" s="4675" t="s">
        <v>688</v>
      </c>
      <c r="D1335" s="4675"/>
      <c r="E1335" s="2928">
        <v>0</v>
      </c>
      <c r="F1335" s="2805"/>
      <c r="G1335" s="2442"/>
      <c r="H1335" s="2807" t="e">
        <f t="shared" si="91"/>
        <v>#DIV/0!</v>
      </c>
    </row>
    <row r="1336" spans="1:8" ht="13.5" hidden="1" thickBot="1">
      <c r="A1336" s="1556"/>
      <c r="B1336" s="4679"/>
      <c r="C1336" s="4676" t="s">
        <v>689</v>
      </c>
      <c r="D1336" s="4676"/>
      <c r="E1336" s="2929">
        <v>0</v>
      </c>
      <c r="F1336" s="2930"/>
      <c r="G1336" s="2442"/>
      <c r="H1336" s="2931" t="e">
        <f t="shared" si="91"/>
        <v>#DIV/0!</v>
      </c>
    </row>
    <row r="1337" spans="1:8" ht="13.5" hidden="1" thickBot="1">
      <c r="A1337" s="1556"/>
      <c r="B1337" s="4679"/>
      <c r="C1337" s="4680" t="s">
        <v>690</v>
      </c>
      <c r="D1337" s="4680"/>
      <c r="E1337" s="2932">
        <v>0</v>
      </c>
      <c r="F1337" s="2805"/>
      <c r="G1337" s="2851"/>
      <c r="H1337" s="2807" t="e">
        <f t="shared" si="91"/>
        <v>#DIV/0!</v>
      </c>
    </row>
    <row r="1338" spans="1:8" ht="13.5" hidden="1" thickBot="1">
      <c r="A1338" s="1556"/>
      <c r="B1338" s="4679"/>
      <c r="C1338" s="2933" t="s">
        <v>692</v>
      </c>
      <c r="D1338" s="2934" t="s">
        <v>693</v>
      </c>
      <c r="E1338" s="2916">
        <v>0</v>
      </c>
      <c r="F1338" s="2805"/>
      <c r="G1338" s="2851"/>
      <c r="H1338" s="2807" t="e">
        <f t="shared" si="91"/>
        <v>#DIV/0!</v>
      </c>
    </row>
    <row r="1339" spans="1:8" ht="13.5" hidden="1" thickBot="1">
      <c r="A1339" s="1556"/>
      <c r="B1339" s="4679"/>
      <c r="C1339" s="2933" t="s">
        <v>694</v>
      </c>
      <c r="D1339" s="2934" t="s">
        <v>695</v>
      </c>
      <c r="E1339" s="2916">
        <v>0</v>
      </c>
      <c r="F1339" s="2805"/>
      <c r="G1339" s="2851"/>
      <c r="H1339" s="2807" t="e">
        <f t="shared" si="91"/>
        <v>#DIV/0!</v>
      </c>
    </row>
    <row r="1340" spans="1:8" ht="13.5" hidden="1" thickBot="1">
      <c r="A1340" s="1556"/>
      <c r="B1340" s="4679"/>
      <c r="C1340" s="2933" t="s">
        <v>696</v>
      </c>
      <c r="D1340" s="2934" t="s">
        <v>697</v>
      </c>
      <c r="E1340" s="2916">
        <v>0</v>
      </c>
      <c r="F1340" s="2805"/>
      <c r="G1340" s="2851"/>
      <c r="H1340" s="2807" t="e">
        <f t="shared" si="91"/>
        <v>#DIV/0!</v>
      </c>
    </row>
    <row r="1341" spans="1:8" ht="1.5" hidden="1" customHeight="1" thickBot="1">
      <c r="A1341" s="1556"/>
      <c r="B1341" s="4679"/>
      <c r="C1341" s="2933" t="s">
        <v>698</v>
      </c>
      <c r="D1341" s="2934" t="s">
        <v>831</v>
      </c>
      <c r="E1341" s="2916">
        <v>0</v>
      </c>
      <c r="F1341" s="2805"/>
      <c r="G1341" s="2851"/>
      <c r="H1341" s="2807" t="e">
        <f t="shared" si="91"/>
        <v>#DIV/0!</v>
      </c>
    </row>
    <row r="1342" spans="1:8" ht="13.5" hidden="1" thickBot="1">
      <c r="A1342" s="1556"/>
      <c r="B1342" s="4679"/>
      <c r="C1342" s="2366"/>
      <c r="D1342" s="2366"/>
      <c r="E1342" s="2367"/>
      <c r="F1342" s="2805"/>
      <c r="G1342" s="2851"/>
      <c r="H1342" s="2807" t="e">
        <f t="shared" si="91"/>
        <v>#DIV/0!</v>
      </c>
    </row>
    <row r="1343" spans="1:8" ht="0.75" hidden="1" customHeight="1" thickBot="1">
      <c r="A1343" s="1556"/>
      <c r="B1343" s="4679"/>
      <c r="C1343" s="4677" t="s">
        <v>704</v>
      </c>
      <c r="D1343" s="4677"/>
      <c r="E1343" s="2932">
        <v>0</v>
      </c>
      <c r="F1343" s="2805"/>
      <c r="G1343" s="2851"/>
      <c r="H1343" s="2807" t="e">
        <f t="shared" si="91"/>
        <v>#DIV/0!</v>
      </c>
    </row>
    <row r="1344" spans="1:8" ht="0.75" hidden="1" customHeight="1" thickBot="1">
      <c r="A1344" s="1556"/>
      <c r="B1344" s="4679"/>
      <c r="C1344" s="2933" t="s">
        <v>707</v>
      </c>
      <c r="D1344" s="2934" t="s">
        <v>708</v>
      </c>
      <c r="E1344" s="2916">
        <v>0</v>
      </c>
      <c r="F1344" s="2805"/>
      <c r="G1344" s="2851"/>
      <c r="H1344" s="2807" t="e">
        <f t="shared" si="91"/>
        <v>#DIV/0!</v>
      </c>
    </row>
    <row r="1345" spans="1:8" ht="13.5" hidden="1" thickBot="1">
      <c r="A1345" s="1556"/>
      <c r="B1345" s="4679"/>
      <c r="C1345" s="2933" t="s">
        <v>942</v>
      </c>
      <c r="D1345" s="2934" t="s">
        <v>943</v>
      </c>
      <c r="E1345" s="2916">
        <v>0</v>
      </c>
      <c r="F1345" s="2805"/>
      <c r="G1345" s="2851"/>
      <c r="H1345" s="2807" t="e">
        <f t="shared" si="91"/>
        <v>#DIV/0!</v>
      </c>
    </row>
    <row r="1346" spans="1:8" ht="0.75" hidden="1" customHeight="1" thickBot="1">
      <c r="A1346" s="1556"/>
      <c r="B1346" s="4679"/>
      <c r="C1346" s="2933" t="s">
        <v>715</v>
      </c>
      <c r="D1346" s="2934" t="s">
        <v>716</v>
      </c>
      <c r="E1346" s="2916">
        <v>0</v>
      </c>
      <c r="F1346" s="2805"/>
      <c r="G1346" s="2851"/>
      <c r="H1346" s="2807" t="e">
        <f t="shared" si="91"/>
        <v>#DIV/0!</v>
      </c>
    </row>
    <row r="1347" spans="1:8" ht="13.5" hidden="1" thickBot="1">
      <c r="A1347" s="1556"/>
      <c r="B1347" s="4679"/>
      <c r="C1347" s="2933" t="s">
        <v>729</v>
      </c>
      <c r="D1347" s="2934" t="s">
        <v>730</v>
      </c>
      <c r="E1347" s="2916">
        <v>0</v>
      </c>
      <c r="F1347" s="2805"/>
      <c r="G1347" s="2851"/>
      <c r="H1347" s="2807" t="e">
        <f t="shared" si="91"/>
        <v>#DIV/0!</v>
      </c>
    </row>
    <row r="1348" spans="1:8" ht="13.5" hidden="1" thickBot="1">
      <c r="A1348" s="1556"/>
      <c r="B1348" s="4679"/>
      <c r="C1348" s="2935"/>
      <c r="D1348" s="2936"/>
      <c r="E1348" s="2935"/>
      <c r="F1348" s="2805"/>
      <c r="G1348" s="2851"/>
      <c r="H1348" s="2807" t="e">
        <f t="shared" si="91"/>
        <v>#DIV/0!</v>
      </c>
    </row>
    <row r="1349" spans="1:8" ht="0.75" hidden="1" customHeight="1" thickBot="1">
      <c r="A1349" s="1556"/>
      <c r="B1349" s="4679"/>
      <c r="C1349" s="4681" t="s">
        <v>1026</v>
      </c>
      <c r="D1349" s="4681"/>
      <c r="E1349" s="2937">
        <v>0</v>
      </c>
      <c r="F1349" s="2805"/>
      <c r="G1349" s="2851"/>
      <c r="H1349" s="2807" t="e">
        <f t="shared" si="91"/>
        <v>#DIV/0!</v>
      </c>
    </row>
    <row r="1350" spans="1:8" ht="13.5" hidden="1" thickBot="1">
      <c r="A1350" s="1556"/>
      <c r="B1350" s="4679"/>
      <c r="C1350" s="2938" t="s">
        <v>742</v>
      </c>
      <c r="D1350" s="2939" t="s">
        <v>743</v>
      </c>
      <c r="E1350" s="2811">
        <v>0</v>
      </c>
      <c r="F1350" s="2805"/>
      <c r="G1350" s="2851"/>
      <c r="H1350" s="2807" t="e">
        <f t="shared" si="91"/>
        <v>#DIV/0!</v>
      </c>
    </row>
    <row r="1351" spans="1:8" ht="13.5" hidden="1" thickBot="1">
      <c r="A1351" s="1556"/>
      <c r="B1351" s="2496" t="s">
        <v>1118</v>
      </c>
      <c r="C1351" s="2497"/>
      <c r="D1351" s="2498" t="s">
        <v>535</v>
      </c>
      <c r="E1351" s="2499">
        <v>0</v>
      </c>
      <c r="F1351" s="2805"/>
      <c r="G1351" s="2851"/>
      <c r="H1351" s="2807" t="e">
        <f t="shared" si="91"/>
        <v>#DIV/0!</v>
      </c>
    </row>
    <row r="1352" spans="1:8" ht="13.5" hidden="1" thickBot="1">
      <c r="A1352" s="1556"/>
      <c r="B1352" s="1750"/>
      <c r="C1352" s="4675" t="s">
        <v>688</v>
      </c>
      <c r="D1352" s="4675"/>
      <c r="E1352" s="1828">
        <v>0</v>
      </c>
      <c r="F1352" s="2805"/>
      <c r="G1352" s="2851"/>
      <c r="H1352" s="2807" t="e">
        <f t="shared" si="91"/>
        <v>#DIV/0!</v>
      </c>
    </row>
    <row r="1353" spans="1:8" ht="13.5" hidden="1" thickBot="1">
      <c r="A1353" s="1556"/>
      <c r="B1353" s="1750"/>
      <c r="C1353" s="4676" t="s">
        <v>689</v>
      </c>
      <c r="D1353" s="4676"/>
      <c r="E1353" s="2850">
        <v>0</v>
      </c>
      <c r="F1353" s="2805"/>
      <c r="G1353" s="2851"/>
      <c r="H1353" s="2807" t="e">
        <f t="shared" si="91"/>
        <v>#DIV/0!</v>
      </c>
    </row>
    <row r="1354" spans="1:8" ht="13.5" hidden="1" thickBot="1">
      <c r="A1354" s="1556"/>
      <c r="B1354" s="1750"/>
      <c r="C1354" s="4677" t="s">
        <v>704</v>
      </c>
      <c r="D1354" s="4677"/>
      <c r="E1354" s="2850">
        <v>0</v>
      </c>
      <c r="F1354" s="2805"/>
      <c r="G1354" s="2851"/>
      <c r="H1354" s="2807" t="e">
        <f t="shared" si="91"/>
        <v>#DIV/0!</v>
      </c>
    </row>
    <row r="1355" spans="1:8" ht="5.25" hidden="1" customHeight="1" thickBot="1">
      <c r="A1355" s="1556"/>
      <c r="B1355" s="1750"/>
      <c r="C1355" s="2933" t="s">
        <v>942</v>
      </c>
      <c r="D1355" s="2934" t="s">
        <v>943</v>
      </c>
      <c r="E1355" s="2811">
        <v>0</v>
      </c>
      <c r="F1355" s="2805"/>
      <c r="G1355" s="2851"/>
      <c r="H1355" s="2852" t="e">
        <f t="shared" si="91"/>
        <v>#DIV/0!</v>
      </c>
    </row>
    <row r="1356" spans="1:8" ht="17.100000000000001" customHeight="1" thickBot="1">
      <c r="A1356" s="1556"/>
      <c r="B1356" s="1500" t="s">
        <v>1119</v>
      </c>
      <c r="C1356" s="1501"/>
      <c r="D1356" s="1502" t="s">
        <v>1120</v>
      </c>
      <c r="E1356" s="1503">
        <f>SUM(E1357)</f>
        <v>1377404</v>
      </c>
      <c r="F1356" s="1504">
        <f>SUM(F1357)</f>
        <v>1377404</v>
      </c>
      <c r="G1356" s="1505">
        <f>SUM(G1357)</f>
        <v>1538787</v>
      </c>
      <c r="H1356" s="1506">
        <f t="shared" si="91"/>
        <v>1.1171646082050002</v>
      </c>
    </row>
    <row r="1357" spans="1:8" ht="17.100000000000001" customHeight="1">
      <c r="A1357" s="1556"/>
      <c r="B1357" s="1548"/>
      <c r="C1357" s="4678" t="s">
        <v>688</v>
      </c>
      <c r="D1357" s="4678"/>
      <c r="E1357" s="1417">
        <f>SUM(E1358,E1374)</f>
        <v>1377404</v>
      </c>
      <c r="F1357" s="1418">
        <f>SUM(F1358,F1374)</f>
        <v>1377404</v>
      </c>
      <c r="G1357" s="2216">
        <f>SUM(G1358,G1374)</f>
        <v>1538787</v>
      </c>
      <c r="H1357" s="1509">
        <f t="shared" si="91"/>
        <v>1.1171646082050002</v>
      </c>
    </row>
    <row r="1358" spans="1:8" ht="17.100000000000001" customHeight="1">
      <c r="A1358" s="1556"/>
      <c r="B1358" s="1548"/>
      <c r="C1358" s="4664" t="s">
        <v>689</v>
      </c>
      <c r="D1358" s="4664"/>
      <c r="E1358" s="2900">
        <f>SUM(E1359,E1368)</f>
        <v>1376870</v>
      </c>
      <c r="F1358" s="2790">
        <f>SUM(F1359,F1368)</f>
        <v>1376870</v>
      </c>
      <c r="G1358" s="2912">
        <f>SUM(G1359,G1368)</f>
        <v>1533450</v>
      </c>
      <c r="H1358" s="2792">
        <f t="shared" si="91"/>
        <v>1.1137217021214785</v>
      </c>
    </row>
    <row r="1359" spans="1:8" ht="17.100000000000001" customHeight="1">
      <c r="A1359" s="1556"/>
      <c r="B1359" s="1548"/>
      <c r="C1359" s="4665" t="s">
        <v>690</v>
      </c>
      <c r="D1359" s="4665"/>
      <c r="E1359" s="2907">
        <f>SUM(E1362:E1366)</f>
        <v>1321904</v>
      </c>
      <c r="F1359" s="2865">
        <f>SUM(F1362:F1366)</f>
        <v>1321904</v>
      </c>
      <c r="G1359" s="2940">
        <f>SUM(G1362:G1366)</f>
        <v>1477043</v>
      </c>
      <c r="H1359" s="2867">
        <f t="shared" si="91"/>
        <v>1.117360262167298</v>
      </c>
    </row>
    <row r="1360" spans="1:8" ht="17.100000000000001" hidden="1" customHeight="1">
      <c r="A1360" s="1556"/>
      <c r="B1360" s="1548"/>
      <c r="C1360" s="2898" t="s">
        <v>692</v>
      </c>
      <c r="D1360" s="2899" t="s">
        <v>693</v>
      </c>
      <c r="E1360" s="2900">
        <v>0</v>
      </c>
      <c r="F1360" s="2790"/>
      <c r="G1360" s="2901"/>
      <c r="H1360" s="2792" t="e">
        <f t="shared" si="91"/>
        <v>#DIV/0!</v>
      </c>
    </row>
    <row r="1361" spans="1:8" ht="17.100000000000001" hidden="1" customHeight="1">
      <c r="A1361" s="1556"/>
      <c r="B1361" s="1548"/>
      <c r="C1361" s="2898" t="s">
        <v>694</v>
      </c>
      <c r="D1361" s="2899" t="s">
        <v>695</v>
      </c>
      <c r="E1361" s="2900">
        <v>0</v>
      </c>
      <c r="F1361" s="2790"/>
      <c r="G1361" s="2901"/>
      <c r="H1361" s="2792" t="e">
        <f t="shared" si="91"/>
        <v>#DIV/0!</v>
      </c>
    </row>
    <row r="1362" spans="1:8" ht="16.5" customHeight="1">
      <c r="A1362" s="1556"/>
      <c r="B1362" s="1548"/>
      <c r="C1362" s="2898" t="s">
        <v>696</v>
      </c>
      <c r="D1362" s="2899" t="s">
        <v>697</v>
      </c>
      <c r="E1362" s="2900">
        <v>204393</v>
      </c>
      <c r="F1362" s="2790">
        <v>204393</v>
      </c>
      <c r="G1362" s="2901">
        <v>225661</v>
      </c>
      <c r="H1362" s="2792">
        <f t="shared" si="91"/>
        <v>1.1040544441345839</v>
      </c>
    </row>
    <row r="1363" spans="1:8" ht="16.5" customHeight="1">
      <c r="A1363" s="1556"/>
      <c r="B1363" s="1548"/>
      <c r="C1363" s="2898" t="s">
        <v>698</v>
      </c>
      <c r="D1363" s="2899" t="s">
        <v>699</v>
      </c>
      <c r="E1363" s="2900">
        <v>34183</v>
      </c>
      <c r="F1363" s="2790">
        <v>34183</v>
      </c>
      <c r="G1363" s="2901">
        <v>37802</v>
      </c>
      <c r="H1363" s="2792">
        <f t="shared" si="91"/>
        <v>1.1058713395547495</v>
      </c>
    </row>
    <row r="1364" spans="1:8" ht="16.5" customHeight="1">
      <c r="A1364" s="1556"/>
      <c r="B1364" s="1548"/>
      <c r="C1364" s="2898" t="s">
        <v>702</v>
      </c>
      <c r="D1364" s="2899" t="s">
        <v>703</v>
      </c>
      <c r="E1364" s="2900">
        <v>5550</v>
      </c>
      <c r="F1364" s="2790">
        <v>5550</v>
      </c>
      <c r="G1364" s="2901">
        <v>5550</v>
      </c>
      <c r="H1364" s="2792">
        <f t="shared" si="91"/>
        <v>1</v>
      </c>
    </row>
    <row r="1365" spans="1:8" ht="16.5" customHeight="1">
      <c r="A1365" s="1556"/>
      <c r="B1365" s="1548"/>
      <c r="C1365" s="2898" t="s">
        <v>1110</v>
      </c>
      <c r="D1365" s="2899" t="s">
        <v>1111</v>
      </c>
      <c r="E1365" s="2900">
        <v>1001194</v>
      </c>
      <c r="F1365" s="2790">
        <v>1001194</v>
      </c>
      <c r="G1365" s="2901">
        <v>1123596</v>
      </c>
      <c r="H1365" s="2792">
        <f t="shared" si="91"/>
        <v>1.1222560263045924</v>
      </c>
    </row>
    <row r="1366" spans="1:8" ht="16.5" customHeight="1">
      <c r="A1366" s="1556"/>
      <c r="B1366" s="1548"/>
      <c r="C1366" s="2898" t="s">
        <v>1112</v>
      </c>
      <c r="D1366" s="2899" t="s">
        <v>1113</v>
      </c>
      <c r="E1366" s="2900">
        <v>76584</v>
      </c>
      <c r="F1366" s="2790">
        <v>76584</v>
      </c>
      <c r="G1366" s="2901">
        <v>84434</v>
      </c>
      <c r="H1366" s="2792">
        <f t="shared" si="91"/>
        <v>1.1025018280580801</v>
      </c>
    </row>
    <row r="1367" spans="1:8" ht="17.100000000000001" customHeight="1">
      <c r="A1367" s="1556"/>
      <c r="B1367" s="1548"/>
      <c r="C1367" s="2904"/>
      <c r="D1367" s="2192"/>
      <c r="E1367" s="2904"/>
      <c r="F1367" s="2790"/>
      <c r="G1367" s="2901"/>
      <c r="H1367" s="2792"/>
    </row>
    <row r="1368" spans="1:8" ht="17.100000000000001" customHeight="1">
      <c r="A1368" s="1750"/>
      <c r="B1368" s="1548"/>
      <c r="C1368" s="4672" t="s">
        <v>704</v>
      </c>
      <c r="D1368" s="4672"/>
      <c r="E1368" s="1577">
        <f>SUM(E1369:E1372)</f>
        <v>54966</v>
      </c>
      <c r="F1368" s="1578">
        <f>SUM(F1369:F1372)</f>
        <v>54966</v>
      </c>
      <c r="G1368" s="2905">
        <f>SUM(G1369:G1372)</f>
        <v>56407</v>
      </c>
      <c r="H1368" s="1580">
        <f>G1368/F1368</f>
        <v>1.0262162063821272</v>
      </c>
    </row>
    <row r="1369" spans="1:8" ht="17.100000000000001" customHeight="1">
      <c r="A1369" s="1556"/>
      <c r="B1369" s="1548"/>
      <c r="C1369" s="2898" t="s">
        <v>707</v>
      </c>
      <c r="D1369" s="2899" t="s">
        <v>708</v>
      </c>
      <c r="E1369" s="2900">
        <v>4192</v>
      </c>
      <c r="F1369" s="2790">
        <v>4192</v>
      </c>
      <c r="G1369" s="2901">
        <v>4820</v>
      </c>
      <c r="H1369" s="2792">
        <f>G1369/F1369</f>
        <v>1.1498091603053435</v>
      </c>
    </row>
    <row r="1370" spans="1:8" ht="17.100000000000001" customHeight="1">
      <c r="A1370" s="1556"/>
      <c r="B1370" s="1548"/>
      <c r="C1370" s="2898" t="s">
        <v>942</v>
      </c>
      <c r="D1370" s="2899" t="s">
        <v>943</v>
      </c>
      <c r="E1370" s="2900">
        <v>4030</v>
      </c>
      <c r="F1370" s="2790">
        <v>4030</v>
      </c>
      <c r="G1370" s="2901">
        <v>4634</v>
      </c>
      <c r="H1370" s="2792">
        <f>G1370/F1370</f>
        <v>1.1498759305210917</v>
      </c>
    </row>
    <row r="1371" spans="1:8" ht="17.100000000000001" customHeight="1">
      <c r="A1371" s="1556"/>
      <c r="B1371" s="1548"/>
      <c r="C1371" s="2898" t="s">
        <v>715</v>
      </c>
      <c r="D1371" s="2899" t="s">
        <v>716</v>
      </c>
      <c r="E1371" s="2900">
        <v>1396</v>
      </c>
      <c r="F1371" s="2790">
        <v>1396</v>
      </c>
      <c r="G1371" s="2901">
        <v>1605</v>
      </c>
      <c r="H1371" s="2792">
        <f>G1371/F1371</f>
        <v>1.1497134670487106</v>
      </c>
    </row>
    <row r="1372" spans="1:8" ht="17.100000000000001" customHeight="1" thickBot="1">
      <c r="A1372" s="1797"/>
      <c r="B1372" s="2872"/>
      <c r="C1372" s="2926" t="s">
        <v>729</v>
      </c>
      <c r="D1372" s="2941" t="s">
        <v>730</v>
      </c>
      <c r="E1372" s="2800">
        <v>45348</v>
      </c>
      <c r="F1372" s="1538">
        <v>45348</v>
      </c>
      <c r="G1372" s="2747">
        <v>45348</v>
      </c>
      <c r="H1372" s="1540">
        <f>G1372/F1372</f>
        <v>1</v>
      </c>
    </row>
    <row r="1373" spans="1:8" ht="17.100000000000001" customHeight="1">
      <c r="A1373" s="1700"/>
      <c r="B1373" s="2706"/>
      <c r="C1373" s="2942"/>
      <c r="D1373" s="2943"/>
      <c r="E1373" s="2944"/>
      <c r="F1373" s="1528"/>
      <c r="G1373" s="1587"/>
      <c r="H1373" s="1530"/>
    </row>
    <row r="1374" spans="1:8" ht="17.100000000000001" customHeight="1">
      <c r="A1374" s="1556"/>
      <c r="B1374" s="1751"/>
      <c r="C1374" s="4673" t="s">
        <v>1026</v>
      </c>
      <c r="D1374" s="4674"/>
      <c r="E1374" s="1450">
        <f>SUM(E1375)</f>
        <v>534</v>
      </c>
      <c r="F1374" s="1451">
        <f>SUM(F1375)</f>
        <v>534</v>
      </c>
      <c r="G1374" s="2945">
        <f>SUM(G1375)</f>
        <v>5337</v>
      </c>
      <c r="H1374" s="2925">
        <f t="shared" ref="H1374:H1387" si="93">G1374/F1374</f>
        <v>9.9943820224719104</v>
      </c>
    </row>
    <row r="1375" spans="1:8" ht="17.100000000000001" customHeight="1" thickBot="1">
      <c r="A1375" s="1750"/>
      <c r="B1375" s="2703"/>
      <c r="C1375" s="2926" t="s">
        <v>742</v>
      </c>
      <c r="D1375" s="2941" t="s">
        <v>743</v>
      </c>
      <c r="E1375" s="2800">
        <v>534</v>
      </c>
      <c r="F1375" s="1538">
        <v>534</v>
      </c>
      <c r="G1375" s="2747">
        <v>5337</v>
      </c>
      <c r="H1375" s="1540">
        <f t="shared" si="93"/>
        <v>9.9943820224719104</v>
      </c>
    </row>
    <row r="1376" spans="1:8" ht="17.100000000000001" customHeight="1" thickBot="1">
      <c r="A1376" s="1556"/>
      <c r="B1376" s="1541" t="s">
        <v>1121</v>
      </c>
      <c r="C1376" s="1542"/>
      <c r="D1376" s="2184" t="s">
        <v>538</v>
      </c>
      <c r="E1376" s="1544">
        <f>SUM(E1377)</f>
        <v>17894480</v>
      </c>
      <c r="F1376" s="1546">
        <f>SUM(F1377,F1434)</f>
        <v>18318988</v>
      </c>
      <c r="G1376" s="1546">
        <f>SUM(G1377,G1434)</f>
        <v>17743865</v>
      </c>
      <c r="H1376" s="1547">
        <f t="shared" si="93"/>
        <v>0.96860508888373087</v>
      </c>
    </row>
    <row r="1377" spans="1:8" ht="17.100000000000001" customHeight="1">
      <c r="A1377" s="1556"/>
      <c r="B1377" s="1429"/>
      <c r="C1377" s="4358" t="s">
        <v>688</v>
      </c>
      <c r="D1377" s="4358"/>
      <c r="E1377" s="2946">
        <f>SUM(E1378,E1412,E1416)</f>
        <v>17894480</v>
      </c>
      <c r="F1377" s="1418">
        <f>SUM(F1378,F1412,F1416)</f>
        <v>18318988</v>
      </c>
      <c r="G1377" s="2947">
        <f>SUM(G1378,G1412,G1416)</f>
        <v>17715565</v>
      </c>
      <c r="H1377" s="1509">
        <f t="shared" si="93"/>
        <v>0.96706024372088673</v>
      </c>
    </row>
    <row r="1378" spans="1:8" ht="17.100000000000001" customHeight="1">
      <c r="A1378" s="1556"/>
      <c r="B1378" s="1429"/>
      <c r="C1378" s="4664" t="s">
        <v>689</v>
      </c>
      <c r="D1378" s="4664"/>
      <c r="E1378" s="2900">
        <f>SUM(E1379,E1389)</f>
        <v>17848900</v>
      </c>
      <c r="F1378" s="2790">
        <f>SUM(F1379,F1389)</f>
        <v>17998900</v>
      </c>
      <c r="G1378" s="2912">
        <f>SUM(G1379,G1389)</f>
        <v>17668735</v>
      </c>
      <c r="H1378" s="2792">
        <f t="shared" si="93"/>
        <v>0.98165637900093894</v>
      </c>
    </row>
    <row r="1379" spans="1:8" ht="17.100000000000001" customHeight="1">
      <c r="A1379" s="1556"/>
      <c r="B1379" s="1429"/>
      <c r="C1379" s="4665" t="s">
        <v>690</v>
      </c>
      <c r="D1379" s="4665"/>
      <c r="E1379" s="2907">
        <f>SUM(E1380:E1387)</f>
        <v>14424114</v>
      </c>
      <c r="F1379" s="2865">
        <f>SUM(F1380:F1387)</f>
        <v>14503214</v>
      </c>
      <c r="G1379" s="2940">
        <f>SUM(G1380:G1387)</f>
        <v>15125838</v>
      </c>
      <c r="H1379" s="2867">
        <f t="shared" si="93"/>
        <v>1.0429300705347104</v>
      </c>
    </row>
    <row r="1380" spans="1:8" ht="17.100000000000001" customHeight="1">
      <c r="A1380" s="1556"/>
      <c r="B1380" s="1429"/>
      <c r="C1380" s="2898" t="s">
        <v>692</v>
      </c>
      <c r="D1380" s="2899" t="s">
        <v>693</v>
      </c>
      <c r="E1380" s="2900">
        <v>2810850</v>
      </c>
      <c r="F1380" s="2790">
        <v>2847558</v>
      </c>
      <c r="G1380" s="2901">
        <v>3445280</v>
      </c>
      <c r="H1380" s="2792">
        <f t="shared" si="93"/>
        <v>1.2099068745921944</v>
      </c>
    </row>
    <row r="1381" spans="1:8" ht="17.100000000000001" customHeight="1">
      <c r="A1381" s="1556"/>
      <c r="B1381" s="1429"/>
      <c r="C1381" s="2898" t="s">
        <v>694</v>
      </c>
      <c r="D1381" s="2899" t="s">
        <v>695</v>
      </c>
      <c r="E1381" s="2900">
        <v>190582</v>
      </c>
      <c r="F1381" s="2790">
        <v>198959</v>
      </c>
      <c r="G1381" s="2901">
        <v>224262</v>
      </c>
      <c r="H1381" s="2792">
        <f t="shared" si="93"/>
        <v>1.127176956056273</v>
      </c>
    </row>
    <row r="1382" spans="1:8" ht="17.100000000000001" customHeight="1">
      <c r="A1382" s="1556"/>
      <c r="B1382" s="1429"/>
      <c r="C1382" s="2898" t="s">
        <v>696</v>
      </c>
      <c r="D1382" s="2899" t="s">
        <v>697</v>
      </c>
      <c r="E1382" s="2900">
        <v>1991630</v>
      </c>
      <c r="F1382" s="2790">
        <v>1991630</v>
      </c>
      <c r="G1382" s="2901">
        <v>2111100</v>
      </c>
      <c r="H1382" s="2792">
        <f t="shared" si="93"/>
        <v>1.0599860415840292</v>
      </c>
    </row>
    <row r="1383" spans="1:8" ht="16.5" customHeight="1">
      <c r="A1383" s="1556"/>
      <c r="B1383" s="1429"/>
      <c r="C1383" s="2898" t="s">
        <v>698</v>
      </c>
      <c r="D1383" s="2899" t="s">
        <v>699</v>
      </c>
      <c r="E1383" s="2900">
        <v>255298</v>
      </c>
      <c r="F1383" s="2790">
        <v>253056</v>
      </c>
      <c r="G1383" s="2901">
        <v>281443</v>
      </c>
      <c r="H1383" s="2792">
        <f t="shared" si="93"/>
        <v>1.1121767513909964</v>
      </c>
    </row>
    <row r="1384" spans="1:8" ht="17.100000000000001" customHeight="1">
      <c r="A1384" s="1556"/>
      <c r="B1384" s="1429"/>
      <c r="C1384" s="2868" t="s">
        <v>700</v>
      </c>
      <c r="D1384" s="2908" t="s">
        <v>701</v>
      </c>
      <c r="E1384" s="2900">
        <v>34960</v>
      </c>
      <c r="F1384" s="2790">
        <v>34960</v>
      </c>
      <c r="G1384" s="2901">
        <v>39500</v>
      </c>
      <c r="H1384" s="2792">
        <f t="shared" si="93"/>
        <v>1.1298627002288331</v>
      </c>
    </row>
    <row r="1385" spans="1:8" ht="17.100000000000001" customHeight="1">
      <c r="A1385" s="1556"/>
      <c r="B1385" s="1429"/>
      <c r="C1385" s="2868" t="s">
        <v>702</v>
      </c>
      <c r="D1385" s="2899" t="s">
        <v>703</v>
      </c>
      <c r="E1385" s="2900">
        <v>17518</v>
      </c>
      <c r="F1385" s="2790">
        <v>17518</v>
      </c>
      <c r="G1385" s="2901">
        <v>16573</v>
      </c>
      <c r="H1385" s="2792">
        <f t="shared" si="93"/>
        <v>0.94605548578604859</v>
      </c>
    </row>
    <row r="1386" spans="1:8" ht="17.100000000000001" customHeight="1">
      <c r="A1386" s="1556"/>
      <c r="B1386" s="1429"/>
      <c r="C1386" s="2898" t="s">
        <v>1110</v>
      </c>
      <c r="D1386" s="2899" t="s">
        <v>1111</v>
      </c>
      <c r="E1386" s="2913">
        <v>8462648</v>
      </c>
      <c r="F1386" s="2790">
        <v>8505040</v>
      </c>
      <c r="G1386" s="2901">
        <v>8382587</v>
      </c>
      <c r="H1386" s="2792">
        <f t="shared" si="93"/>
        <v>0.98560230169405438</v>
      </c>
    </row>
    <row r="1387" spans="1:8" ht="17.100000000000001" customHeight="1">
      <c r="A1387" s="1556"/>
      <c r="B1387" s="1429"/>
      <c r="C1387" s="2898" t="s">
        <v>1112</v>
      </c>
      <c r="D1387" s="2899" t="s">
        <v>1113</v>
      </c>
      <c r="E1387" s="2913">
        <v>660628</v>
      </c>
      <c r="F1387" s="2790">
        <v>654493</v>
      </c>
      <c r="G1387" s="2901">
        <v>625093</v>
      </c>
      <c r="H1387" s="2792">
        <f t="shared" si="93"/>
        <v>0.95507973347308528</v>
      </c>
    </row>
    <row r="1388" spans="1:8" ht="14.25" customHeight="1">
      <c r="A1388" s="1750"/>
      <c r="B1388" s="1429"/>
      <c r="C1388" s="2948"/>
      <c r="D1388" s="2949"/>
      <c r="E1388" s="2948"/>
      <c r="F1388" s="2790"/>
      <c r="G1388" s="2901"/>
      <c r="H1388" s="2792"/>
    </row>
    <row r="1389" spans="1:8" ht="17.100000000000001" customHeight="1">
      <c r="A1389" s="1556"/>
      <c r="B1389" s="1429"/>
      <c r="C1389" s="4427" t="s">
        <v>704</v>
      </c>
      <c r="D1389" s="4427"/>
      <c r="E1389" s="2950">
        <f>SUM(E1390:E1407)</f>
        <v>3424786</v>
      </c>
      <c r="F1389" s="1578">
        <f>SUM(F1390:F1407)</f>
        <v>3495686</v>
      </c>
      <c r="G1389" s="2951">
        <f>SUM(G1390:G1407)</f>
        <v>2542897</v>
      </c>
      <c r="H1389" s="2867">
        <f t="shared" ref="H1389:H1407" si="94">G1389/F1389</f>
        <v>0.7274386200591243</v>
      </c>
    </row>
    <row r="1390" spans="1:8" ht="17.100000000000001" customHeight="1">
      <c r="A1390" s="1556"/>
      <c r="B1390" s="1429"/>
      <c r="C1390" s="2898" t="s">
        <v>705</v>
      </c>
      <c r="D1390" s="2899" t="s">
        <v>706</v>
      </c>
      <c r="E1390" s="2900">
        <v>18100</v>
      </c>
      <c r="F1390" s="2790">
        <v>18100</v>
      </c>
      <c r="G1390" s="2901">
        <v>19600</v>
      </c>
      <c r="H1390" s="2792">
        <f t="shared" si="94"/>
        <v>1.0828729281767955</v>
      </c>
    </row>
    <row r="1391" spans="1:8" ht="17.100000000000001" customHeight="1">
      <c r="A1391" s="1556"/>
      <c r="B1391" s="1429"/>
      <c r="C1391" s="2898" t="s">
        <v>707</v>
      </c>
      <c r="D1391" s="2899" t="s">
        <v>708</v>
      </c>
      <c r="E1391" s="2900">
        <v>137773</v>
      </c>
      <c r="F1391" s="2790">
        <v>137773</v>
      </c>
      <c r="G1391" s="2901">
        <v>169949</v>
      </c>
      <c r="H1391" s="2792">
        <f t="shared" si="94"/>
        <v>1.2335435825597179</v>
      </c>
    </row>
    <row r="1392" spans="1:8" ht="17.100000000000001" customHeight="1">
      <c r="A1392" s="1556"/>
      <c r="B1392" s="1429"/>
      <c r="C1392" s="2898" t="s">
        <v>942</v>
      </c>
      <c r="D1392" s="2899" t="s">
        <v>943</v>
      </c>
      <c r="E1392" s="2900">
        <v>609344</v>
      </c>
      <c r="F1392" s="2790">
        <v>609344</v>
      </c>
      <c r="G1392" s="2901">
        <v>233604</v>
      </c>
      <c r="H1392" s="2792">
        <f t="shared" si="94"/>
        <v>0.38336965654868188</v>
      </c>
    </row>
    <row r="1393" spans="1:8" ht="17.100000000000001" customHeight="1">
      <c r="A1393" s="1556"/>
      <c r="B1393" s="1429"/>
      <c r="C1393" s="2898" t="s">
        <v>711</v>
      </c>
      <c r="D1393" s="2899" t="s">
        <v>712</v>
      </c>
      <c r="E1393" s="2900">
        <v>521637</v>
      </c>
      <c r="F1393" s="2790">
        <v>591637</v>
      </c>
      <c r="G1393" s="2901">
        <v>786790</v>
      </c>
      <c r="H1393" s="2792">
        <f t="shared" si="94"/>
        <v>1.3298525954259115</v>
      </c>
    </row>
    <row r="1394" spans="1:8" ht="17.100000000000001" customHeight="1">
      <c r="A1394" s="1556"/>
      <c r="B1394" s="1429"/>
      <c r="C1394" s="2898" t="s">
        <v>713</v>
      </c>
      <c r="D1394" s="2899" t="s">
        <v>714</v>
      </c>
      <c r="E1394" s="2900">
        <v>947815</v>
      </c>
      <c r="F1394" s="2790">
        <v>947815</v>
      </c>
      <c r="G1394" s="2901">
        <v>226200</v>
      </c>
      <c r="H1394" s="2792">
        <f t="shared" si="94"/>
        <v>0.23865416774370526</v>
      </c>
    </row>
    <row r="1395" spans="1:8" ht="17.100000000000001" customHeight="1">
      <c r="A1395" s="1556"/>
      <c r="B1395" s="1429"/>
      <c r="C1395" s="2898" t="s">
        <v>715</v>
      </c>
      <c r="D1395" s="2899" t="s">
        <v>716</v>
      </c>
      <c r="E1395" s="2900">
        <v>13388</v>
      </c>
      <c r="F1395" s="2790">
        <v>13388</v>
      </c>
      <c r="G1395" s="2901">
        <v>14550</v>
      </c>
      <c r="H1395" s="2792">
        <f t="shared" si="94"/>
        <v>1.0867941440095608</v>
      </c>
    </row>
    <row r="1396" spans="1:8" ht="17.100000000000001" customHeight="1">
      <c r="A1396" s="1556"/>
      <c r="B1396" s="1429"/>
      <c r="C1396" s="2898" t="s">
        <v>717</v>
      </c>
      <c r="D1396" s="2899" t="s">
        <v>718</v>
      </c>
      <c r="E1396" s="2900">
        <v>431982</v>
      </c>
      <c r="F1396" s="2790">
        <v>431982</v>
      </c>
      <c r="G1396" s="2901">
        <v>496491</v>
      </c>
      <c r="H1396" s="2792">
        <f t="shared" si="94"/>
        <v>1.1493326110810174</v>
      </c>
    </row>
    <row r="1397" spans="1:8" ht="27.75" customHeight="1">
      <c r="A1397" s="1556"/>
      <c r="B1397" s="1429"/>
      <c r="C1397" s="2898" t="s">
        <v>1122</v>
      </c>
      <c r="D1397" s="2899" t="s">
        <v>1123</v>
      </c>
      <c r="E1397" s="2900">
        <v>194000</v>
      </c>
      <c r="F1397" s="2790">
        <v>194000</v>
      </c>
      <c r="G1397" s="2901">
        <v>13530</v>
      </c>
      <c r="H1397" s="2792">
        <f t="shared" si="94"/>
        <v>6.9742268041237107E-2</v>
      </c>
    </row>
    <row r="1398" spans="1:8" ht="16.5" customHeight="1">
      <c r="A1398" s="1556"/>
      <c r="B1398" s="1429"/>
      <c r="C1398" s="2898" t="s">
        <v>719</v>
      </c>
      <c r="D1398" s="2899" t="s">
        <v>720</v>
      </c>
      <c r="E1398" s="2900">
        <v>21570</v>
      </c>
      <c r="F1398" s="2790">
        <v>21570</v>
      </c>
      <c r="G1398" s="2901">
        <v>23250</v>
      </c>
      <c r="H1398" s="2792">
        <f t="shared" si="94"/>
        <v>1.0778859527121001</v>
      </c>
    </row>
    <row r="1399" spans="1:8" ht="16.5" customHeight="1">
      <c r="A1399" s="1556"/>
      <c r="B1399" s="1429"/>
      <c r="C1399" s="2898" t="s">
        <v>721</v>
      </c>
      <c r="D1399" s="2899" t="s">
        <v>722</v>
      </c>
      <c r="E1399" s="2900">
        <v>1080</v>
      </c>
      <c r="F1399" s="2790">
        <v>1080</v>
      </c>
      <c r="G1399" s="2901">
        <v>1080</v>
      </c>
      <c r="H1399" s="2792">
        <f t="shared" si="94"/>
        <v>1</v>
      </c>
    </row>
    <row r="1400" spans="1:8" ht="27.75" customHeight="1">
      <c r="A1400" s="1556"/>
      <c r="B1400" s="1429"/>
      <c r="C1400" s="2898" t="s">
        <v>723</v>
      </c>
      <c r="D1400" s="2899" t="s">
        <v>724</v>
      </c>
      <c r="E1400" s="2900">
        <v>2400</v>
      </c>
      <c r="F1400" s="2790">
        <v>2400</v>
      </c>
      <c r="G1400" s="2901">
        <v>2400</v>
      </c>
      <c r="H1400" s="2792">
        <f t="shared" si="94"/>
        <v>1</v>
      </c>
    </row>
    <row r="1401" spans="1:8" ht="17.100000000000001" customHeight="1">
      <c r="A1401" s="1750"/>
      <c r="B1401" s="1429"/>
      <c r="C1401" s="2902" t="s">
        <v>725</v>
      </c>
      <c r="D1401" s="2903" t="s">
        <v>726</v>
      </c>
      <c r="E1401" s="2900">
        <v>15040</v>
      </c>
      <c r="F1401" s="2790">
        <v>15040</v>
      </c>
      <c r="G1401" s="2901">
        <v>16360</v>
      </c>
      <c r="H1401" s="2792">
        <f t="shared" si="94"/>
        <v>1.0877659574468086</v>
      </c>
    </row>
    <row r="1402" spans="1:8" ht="17.100000000000001" customHeight="1">
      <c r="A1402" s="1556"/>
      <c r="B1402" s="1429"/>
      <c r="C1402" s="2952" t="s">
        <v>727</v>
      </c>
      <c r="D1402" s="2953" t="s">
        <v>728</v>
      </c>
      <c r="E1402" s="2954">
        <v>22200</v>
      </c>
      <c r="F1402" s="1451">
        <v>22200</v>
      </c>
      <c r="G1402" s="2617">
        <v>25650</v>
      </c>
      <c r="H1402" s="1453">
        <f t="shared" si="94"/>
        <v>1.1554054054054055</v>
      </c>
    </row>
    <row r="1403" spans="1:8" ht="17.100000000000001" customHeight="1">
      <c r="A1403" s="1556"/>
      <c r="B1403" s="1429"/>
      <c r="C1403" s="2898" t="s">
        <v>729</v>
      </c>
      <c r="D1403" s="2899" t="s">
        <v>730</v>
      </c>
      <c r="E1403" s="2900">
        <v>465497</v>
      </c>
      <c r="F1403" s="2790">
        <v>465497</v>
      </c>
      <c r="G1403" s="2901">
        <v>486849</v>
      </c>
      <c r="H1403" s="2792">
        <f t="shared" si="94"/>
        <v>1.0458692537223655</v>
      </c>
    </row>
    <row r="1404" spans="1:8" ht="17.100000000000001" hidden="1" customHeight="1">
      <c r="A1404" s="1556"/>
      <c r="B1404" s="1429"/>
      <c r="C1404" s="2898" t="s">
        <v>733</v>
      </c>
      <c r="D1404" s="2899" t="s">
        <v>734</v>
      </c>
      <c r="E1404" s="2900">
        <v>0</v>
      </c>
      <c r="F1404" s="2790"/>
      <c r="G1404" s="2901"/>
      <c r="H1404" s="2792" t="e">
        <f t="shared" si="94"/>
        <v>#DIV/0!</v>
      </c>
    </row>
    <row r="1405" spans="1:8" ht="17.100000000000001" customHeight="1">
      <c r="A1405" s="1556"/>
      <c r="B1405" s="1429"/>
      <c r="C1405" s="2898" t="s">
        <v>735</v>
      </c>
      <c r="D1405" s="2899" t="s">
        <v>1124</v>
      </c>
      <c r="E1405" s="2900">
        <v>13560</v>
      </c>
      <c r="F1405" s="2790">
        <v>13560</v>
      </c>
      <c r="G1405" s="2901">
        <v>15544</v>
      </c>
      <c r="H1405" s="2792">
        <f t="shared" si="94"/>
        <v>1.1463126843657818</v>
      </c>
    </row>
    <row r="1406" spans="1:8" ht="17.100000000000001" hidden="1" customHeight="1">
      <c r="A1406" s="1556"/>
      <c r="B1406" s="1429"/>
      <c r="C1406" s="2898" t="s">
        <v>815</v>
      </c>
      <c r="D1406" s="2899" t="s">
        <v>816</v>
      </c>
      <c r="E1406" s="2900">
        <v>0</v>
      </c>
      <c r="F1406" s="2790"/>
      <c r="G1406" s="2901"/>
      <c r="H1406" s="2792" t="e">
        <f t="shared" si="94"/>
        <v>#DIV/0!</v>
      </c>
    </row>
    <row r="1407" spans="1:8" ht="18.75" customHeight="1">
      <c r="A1407" s="1556"/>
      <c r="B1407" s="1429"/>
      <c r="C1407" s="2902" t="s">
        <v>739</v>
      </c>
      <c r="D1407" s="2903" t="s">
        <v>740</v>
      </c>
      <c r="E1407" s="2900">
        <v>9400</v>
      </c>
      <c r="F1407" s="2790">
        <v>10300</v>
      </c>
      <c r="G1407" s="2901">
        <v>11050</v>
      </c>
      <c r="H1407" s="2792">
        <f t="shared" si="94"/>
        <v>1.0728155339805825</v>
      </c>
    </row>
    <row r="1408" spans="1:8" ht="17.100000000000001" customHeight="1">
      <c r="A1408" s="1750"/>
      <c r="B1408" s="1750"/>
      <c r="C1408" s="2366"/>
      <c r="D1408" s="2366"/>
      <c r="E1408" s="2367"/>
      <c r="F1408" s="1909"/>
      <c r="G1408" s="2474"/>
      <c r="H1408" s="1942"/>
    </row>
    <row r="1409" spans="1:8" ht="17.100000000000001" hidden="1" customHeight="1">
      <c r="A1409" s="1556"/>
      <c r="B1409" s="1750"/>
      <c r="C1409" s="4667" t="s">
        <v>797</v>
      </c>
      <c r="D1409" s="4667"/>
      <c r="E1409" s="2916">
        <v>0</v>
      </c>
      <c r="F1409" s="2805"/>
      <c r="G1409" s="2851"/>
      <c r="H1409" s="2807" t="e">
        <f t="shared" ref="H1409:H1414" si="95">G1409/F1409</f>
        <v>#DIV/0!</v>
      </c>
    </row>
    <row r="1410" spans="1:8" ht="25.5" hidden="1" customHeight="1">
      <c r="A1410" s="1556"/>
      <c r="B1410" s="1750"/>
      <c r="C1410" s="2955" t="s">
        <v>353</v>
      </c>
      <c r="D1410" s="2849" t="s">
        <v>932</v>
      </c>
      <c r="E1410" s="2916">
        <v>0</v>
      </c>
      <c r="F1410" s="2805"/>
      <c r="G1410" s="2851"/>
      <c r="H1410" s="2807" t="e">
        <f t="shared" si="95"/>
        <v>#DIV/0!</v>
      </c>
    </row>
    <row r="1411" spans="1:8" hidden="1">
      <c r="A1411" s="1556"/>
      <c r="B1411" s="1750"/>
      <c r="C1411" s="2366"/>
      <c r="D1411" s="2366"/>
      <c r="E1411" s="2367"/>
      <c r="F1411" s="2805"/>
      <c r="G1411" s="2851"/>
      <c r="H1411" s="2807" t="e">
        <f t="shared" si="95"/>
        <v>#DIV/0!</v>
      </c>
    </row>
    <row r="1412" spans="1:8" ht="16.5" customHeight="1">
      <c r="A1412" s="1556"/>
      <c r="B1412" s="1750"/>
      <c r="C1412" s="4668" t="s">
        <v>1026</v>
      </c>
      <c r="D1412" s="4668"/>
      <c r="E1412" s="2900">
        <f>SUM(E1413:E1414)</f>
        <v>45580</v>
      </c>
      <c r="F1412" s="2790">
        <f>SUM(F1413:F1414)</f>
        <v>279118</v>
      </c>
      <c r="G1412" s="2912">
        <f>SUM(G1413:G1414)</f>
        <v>46830</v>
      </c>
      <c r="H1412" s="2792">
        <f t="shared" si="95"/>
        <v>0.16777850228218891</v>
      </c>
    </row>
    <row r="1413" spans="1:8" ht="16.5" customHeight="1">
      <c r="A1413" s="1556"/>
      <c r="B1413" s="1750"/>
      <c r="C1413" s="2902" t="s">
        <v>742</v>
      </c>
      <c r="D1413" s="2903" t="s">
        <v>743</v>
      </c>
      <c r="E1413" s="2900">
        <v>45580</v>
      </c>
      <c r="F1413" s="2790">
        <v>95368</v>
      </c>
      <c r="G1413" s="2901">
        <v>46830</v>
      </c>
      <c r="H1413" s="2792">
        <f t="shared" si="95"/>
        <v>0.49104521432765708</v>
      </c>
    </row>
    <row r="1414" spans="1:8" ht="16.5" customHeight="1">
      <c r="A1414" s="1556"/>
      <c r="B1414" s="1750"/>
      <c r="C1414" s="2956" t="s">
        <v>1125</v>
      </c>
      <c r="D1414" s="2957" t="s">
        <v>1126</v>
      </c>
      <c r="E1414" s="2900">
        <v>0</v>
      </c>
      <c r="F1414" s="2790">
        <v>183750</v>
      </c>
      <c r="G1414" s="2901">
        <v>0</v>
      </c>
      <c r="H1414" s="2792">
        <f t="shared" si="95"/>
        <v>0</v>
      </c>
    </row>
    <row r="1415" spans="1:8" ht="16.5" customHeight="1">
      <c r="A1415" s="1556"/>
      <c r="B1415" s="1750"/>
      <c r="C1415" s="2958"/>
      <c r="D1415" s="2959"/>
      <c r="E1415" s="2958"/>
      <c r="F1415" s="2790"/>
      <c r="G1415" s="2901"/>
      <c r="H1415" s="2792"/>
    </row>
    <row r="1416" spans="1:8" ht="16.5" customHeight="1">
      <c r="A1416" s="1556"/>
      <c r="B1416" s="1750"/>
      <c r="C1416" s="4669" t="s">
        <v>761</v>
      </c>
      <c r="D1416" s="4670"/>
      <c r="E1416" s="2960">
        <f>SUM(E1421:E1432)</f>
        <v>0</v>
      </c>
      <c r="F1416" s="2961">
        <f>SUM(F1421:F1432)</f>
        <v>40970</v>
      </c>
      <c r="G1416" s="2962">
        <f>SUM(G1421:G1432)</f>
        <v>0</v>
      </c>
      <c r="H1416" s="2792">
        <f t="shared" ref="H1416:H1449" si="96">G1416/F1416</f>
        <v>0</v>
      </c>
    </row>
    <row r="1417" spans="1:8" ht="16.5" hidden="1" customHeight="1">
      <c r="A1417" s="1556"/>
      <c r="B1417" s="1750"/>
      <c r="C1417" s="2898" t="s">
        <v>1127</v>
      </c>
      <c r="D1417" s="2963" t="s">
        <v>1126</v>
      </c>
      <c r="E1417" s="2964">
        <v>0</v>
      </c>
      <c r="F1417" s="2790"/>
      <c r="G1417" s="2901"/>
      <c r="H1417" s="2792" t="e">
        <f t="shared" si="96"/>
        <v>#DIV/0!</v>
      </c>
    </row>
    <row r="1418" spans="1:8" ht="16.5" hidden="1" customHeight="1">
      <c r="A1418" s="1556"/>
      <c r="B1418" s="1750"/>
      <c r="C1418" s="2898" t="s">
        <v>1128</v>
      </c>
      <c r="D1418" s="2963" t="s">
        <v>1126</v>
      </c>
      <c r="E1418" s="2964">
        <v>0</v>
      </c>
      <c r="F1418" s="2790"/>
      <c r="G1418" s="2901"/>
      <c r="H1418" s="2792" t="e">
        <f t="shared" si="96"/>
        <v>#DIV/0!</v>
      </c>
    </row>
    <row r="1419" spans="1:8" ht="16.5" hidden="1" customHeight="1">
      <c r="A1419" s="1556"/>
      <c r="B1419" s="1750"/>
      <c r="C1419" s="2898" t="s">
        <v>827</v>
      </c>
      <c r="D1419" s="2965" t="s">
        <v>693</v>
      </c>
      <c r="E1419" s="2964">
        <v>0</v>
      </c>
      <c r="F1419" s="2790"/>
      <c r="G1419" s="2901"/>
      <c r="H1419" s="2792" t="e">
        <f t="shared" si="96"/>
        <v>#DIV/0!</v>
      </c>
    </row>
    <row r="1420" spans="1:8" ht="16.5" hidden="1" customHeight="1">
      <c r="A1420" s="1556"/>
      <c r="B1420" s="1750"/>
      <c r="C1420" s="2898" t="s">
        <v>767</v>
      </c>
      <c r="D1420" s="2965" t="s">
        <v>693</v>
      </c>
      <c r="E1420" s="2964">
        <v>0</v>
      </c>
      <c r="F1420" s="2790"/>
      <c r="G1420" s="2901"/>
      <c r="H1420" s="2792" t="e">
        <f t="shared" si="96"/>
        <v>#DIV/0!</v>
      </c>
    </row>
    <row r="1421" spans="1:8" ht="16.5" customHeight="1">
      <c r="A1421" s="1556"/>
      <c r="B1421" s="1750"/>
      <c r="C1421" s="2898" t="s">
        <v>829</v>
      </c>
      <c r="D1421" s="2899" t="s">
        <v>697</v>
      </c>
      <c r="E1421" s="2964">
        <v>0</v>
      </c>
      <c r="F1421" s="2790">
        <v>4141</v>
      </c>
      <c r="G1421" s="2901">
        <v>0</v>
      </c>
      <c r="H1421" s="2792">
        <f t="shared" si="96"/>
        <v>0</v>
      </c>
    </row>
    <row r="1422" spans="1:8" ht="16.5" customHeight="1">
      <c r="A1422" s="1556"/>
      <c r="B1422" s="1750"/>
      <c r="C1422" s="2898" t="s">
        <v>771</v>
      </c>
      <c r="D1422" s="2899" t="s">
        <v>697</v>
      </c>
      <c r="E1422" s="2964">
        <v>0</v>
      </c>
      <c r="F1422" s="2790">
        <v>250</v>
      </c>
      <c r="G1422" s="2901">
        <v>0</v>
      </c>
      <c r="H1422" s="2792">
        <f t="shared" si="96"/>
        <v>0</v>
      </c>
    </row>
    <row r="1423" spans="1:8" ht="27" customHeight="1">
      <c r="A1423" s="1556"/>
      <c r="B1423" s="1750"/>
      <c r="C1423" s="2898" t="s">
        <v>830</v>
      </c>
      <c r="D1423" s="2899" t="s">
        <v>831</v>
      </c>
      <c r="E1423" s="2964">
        <v>0</v>
      </c>
      <c r="F1423" s="2790">
        <v>591</v>
      </c>
      <c r="G1423" s="2901">
        <v>0</v>
      </c>
      <c r="H1423" s="2792">
        <f t="shared" si="96"/>
        <v>0</v>
      </c>
    </row>
    <row r="1424" spans="1:8" ht="27" customHeight="1">
      <c r="A1424" s="1556"/>
      <c r="B1424" s="1750"/>
      <c r="C1424" s="2898" t="s">
        <v>773</v>
      </c>
      <c r="D1424" s="2899" t="s">
        <v>831</v>
      </c>
      <c r="E1424" s="2964">
        <v>0</v>
      </c>
      <c r="F1424" s="2790">
        <v>35</v>
      </c>
      <c r="G1424" s="2901">
        <v>0</v>
      </c>
      <c r="H1424" s="2792">
        <f t="shared" si="96"/>
        <v>0</v>
      </c>
    </row>
    <row r="1425" spans="1:8" ht="27" customHeight="1">
      <c r="A1425" s="1556"/>
      <c r="B1425" s="1750"/>
      <c r="C1425" s="2898" t="s">
        <v>970</v>
      </c>
      <c r="D1425" s="2899" t="s">
        <v>831</v>
      </c>
      <c r="E1425" s="2964">
        <v>0</v>
      </c>
      <c r="F1425" s="2790">
        <v>24089</v>
      </c>
      <c r="G1425" s="2901">
        <v>0</v>
      </c>
      <c r="H1425" s="2792">
        <f t="shared" si="96"/>
        <v>0</v>
      </c>
    </row>
    <row r="1426" spans="1:8" ht="27" customHeight="1">
      <c r="A1426" s="1556"/>
      <c r="B1426" s="1750"/>
      <c r="C1426" s="2898" t="s">
        <v>775</v>
      </c>
      <c r="D1426" s="2899" t="s">
        <v>831</v>
      </c>
      <c r="E1426" s="2964">
        <v>0</v>
      </c>
      <c r="F1426" s="2790">
        <v>1459</v>
      </c>
      <c r="G1426" s="2901">
        <v>0</v>
      </c>
      <c r="H1426" s="2792">
        <f t="shared" si="96"/>
        <v>0</v>
      </c>
    </row>
    <row r="1427" spans="1:8" ht="1.5" hidden="1" customHeight="1">
      <c r="A1427" s="1556"/>
      <c r="B1427" s="1750"/>
      <c r="C1427" s="2898" t="s">
        <v>1129</v>
      </c>
      <c r="D1427" s="2899" t="s">
        <v>831</v>
      </c>
      <c r="E1427" s="2964">
        <v>0</v>
      </c>
      <c r="F1427" s="2790"/>
      <c r="G1427" s="2901"/>
      <c r="H1427" s="2792" t="e">
        <f t="shared" si="96"/>
        <v>#DIV/0!</v>
      </c>
    </row>
    <row r="1428" spans="1:8" ht="25.5" hidden="1">
      <c r="A1428" s="1556"/>
      <c r="B1428" s="1750"/>
      <c r="C1428" s="2898" t="s">
        <v>1130</v>
      </c>
      <c r="D1428" s="2899" t="s">
        <v>831</v>
      </c>
      <c r="E1428" s="2964">
        <v>0</v>
      </c>
      <c r="F1428" s="2790"/>
      <c r="G1428" s="2901"/>
      <c r="H1428" s="2792" t="e">
        <f t="shared" si="96"/>
        <v>#DIV/0!</v>
      </c>
    </row>
    <row r="1429" spans="1:8" ht="16.5" customHeight="1">
      <c r="A1429" s="1556"/>
      <c r="B1429" s="1750"/>
      <c r="C1429" s="2898" t="s">
        <v>833</v>
      </c>
      <c r="D1429" s="2899" t="s">
        <v>718</v>
      </c>
      <c r="E1429" s="2964">
        <v>0</v>
      </c>
      <c r="F1429" s="2790">
        <v>9742</v>
      </c>
      <c r="G1429" s="2901">
        <v>0</v>
      </c>
      <c r="H1429" s="2792">
        <f t="shared" si="96"/>
        <v>0</v>
      </c>
    </row>
    <row r="1430" spans="1:8" ht="16.5" customHeight="1">
      <c r="A1430" s="1556"/>
      <c r="B1430" s="1750"/>
      <c r="C1430" s="2898" t="s">
        <v>784</v>
      </c>
      <c r="D1430" s="2899" t="s">
        <v>718</v>
      </c>
      <c r="E1430" s="2964">
        <v>0</v>
      </c>
      <c r="F1430" s="2790">
        <v>590</v>
      </c>
      <c r="G1430" s="2901">
        <v>0</v>
      </c>
      <c r="H1430" s="2792">
        <f t="shared" si="96"/>
        <v>0</v>
      </c>
    </row>
    <row r="1431" spans="1:8" ht="16.5" customHeight="1">
      <c r="A1431" s="1556"/>
      <c r="B1431" s="1750"/>
      <c r="C1431" s="2898" t="s">
        <v>837</v>
      </c>
      <c r="D1431" s="2966" t="s">
        <v>703</v>
      </c>
      <c r="E1431" s="2964">
        <v>0</v>
      </c>
      <c r="F1431" s="2790">
        <v>68</v>
      </c>
      <c r="G1431" s="2901">
        <v>0</v>
      </c>
      <c r="H1431" s="2792">
        <f t="shared" si="96"/>
        <v>0</v>
      </c>
    </row>
    <row r="1432" spans="1:8" ht="16.5" customHeight="1">
      <c r="A1432" s="1556"/>
      <c r="B1432" s="1750"/>
      <c r="C1432" s="2902" t="s">
        <v>796</v>
      </c>
      <c r="D1432" s="2966" t="s">
        <v>703</v>
      </c>
      <c r="E1432" s="2964">
        <v>0</v>
      </c>
      <c r="F1432" s="2790">
        <v>5</v>
      </c>
      <c r="G1432" s="2901">
        <v>0</v>
      </c>
      <c r="H1432" s="2792">
        <f t="shared" si="96"/>
        <v>0</v>
      </c>
    </row>
    <row r="1433" spans="1:8" s="1370" customFormat="1" ht="16.5" customHeight="1">
      <c r="A1433" s="1408"/>
      <c r="B1433" s="1429"/>
      <c r="C1433" s="2909"/>
      <c r="D1433" s="2967"/>
      <c r="E1433" s="2968"/>
      <c r="F1433" s="2790"/>
      <c r="G1433" s="2901"/>
      <c r="H1433" s="2792"/>
    </row>
    <row r="1434" spans="1:8" s="1370" customFormat="1" ht="16.5" customHeight="1">
      <c r="A1434" s="1408"/>
      <c r="B1434" s="1429"/>
      <c r="C1434" s="4477" t="s">
        <v>744</v>
      </c>
      <c r="D1434" s="4477"/>
      <c r="E1434" s="2946">
        <v>0</v>
      </c>
      <c r="F1434" s="2787">
        <f>SUM(F1435)</f>
        <v>0</v>
      </c>
      <c r="G1434" s="2787">
        <f>SUM(G1435)</f>
        <v>28300</v>
      </c>
      <c r="H1434" s="2797"/>
    </row>
    <row r="1435" spans="1:8" s="1370" customFormat="1" ht="16.5" customHeight="1">
      <c r="A1435" s="1408"/>
      <c r="B1435" s="1429"/>
      <c r="C1435" s="4668" t="s">
        <v>745</v>
      </c>
      <c r="D1435" s="4671"/>
      <c r="E1435" s="2900">
        <v>0</v>
      </c>
      <c r="F1435" s="2790">
        <f>SUM(F1436)</f>
        <v>0</v>
      </c>
      <c r="G1435" s="2790">
        <f>SUM(G1436)</f>
        <v>28300</v>
      </c>
      <c r="H1435" s="2792"/>
    </row>
    <row r="1436" spans="1:8" s="1370" customFormat="1" ht="16.5" customHeight="1" thickBot="1">
      <c r="A1436" s="1408"/>
      <c r="B1436" s="1429"/>
      <c r="C1436" s="2969" t="s">
        <v>746</v>
      </c>
      <c r="D1436" s="2953" t="s">
        <v>801</v>
      </c>
      <c r="E1436" s="2900">
        <v>0</v>
      </c>
      <c r="F1436" s="2790">
        <v>0</v>
      </c>
      <c r="G1436" s="2901">
        <v>28300</v>
      </c>
      <c r="H1436" s="2792"/>
    </row>
    <row r="1437" spans="1:8" s="1370" customFormat="1" ht="16.5" hidden="1" customHeight="1" thickBot="1">
      <c r="A1437" s="1408"/>
      <c r="B1437" s="1429"/>
      <c r="C1437" s="2970"/>
      <c r="D1437" s="2971"/>
      <c r="E1437" s="2954"/>
      <c r="F1437" s="2790"/>
      <c r="G1437" s="2901"/>
      <c r="H1437" s="2972"/>
    </row>
    <row r="1438" spans="1:8" ht="17.100000000000001" customHeight="1" thickBot="1">
      <c r="A1438" s="1556"/>
      <c r="B1438" s="1500" t="s">
        <v>1131</v>
      </c>
      <c r="C1438" s="2209"/>
      <c r="D1438" s="1502" t="s">
        <v>541</v>
      </c>
      <c r="E1438" s="1503">
        <f>SUM(E1439,E1515)</f>
        <v>13198187</v>
      </c>
      <c r="F1438" s="1504">
        <f>SUM(F1439,F1515)</f>
        <v>15406104</v>
      </c>
      <c r="G1438" s="1505">
        <f>SUM(G1439,G1515)</f>
        <v>18575044</v>
      </c>
      <c r="H1438" s="1506">
        <f t="shared" si="96"/>
        <v>1.2056937951347075</v>
      </c>
    </row>
    <row r="1439" spans="1:8" ht="17.100000000000001" customHeight="1">
      <c r="A1439" s="1556"/>
      <c r="B1439" s="1429"/>
      <c r="C1439" s="4358" t="s">
        <v>688</v>
      </c>
      <c r="D1439" s="4358"/>
      <c r="E1439" s="2946">
        <f>SUM(E1440,E1465,E1468)</f>
        <v>13158477</v>
      </c>
      <c r="F1439" s="1418">
        <f>SUM(F1440,F1465,F1468)</f>
        <v>15366394</v>
      </c>
      <c r="G1439" s="2947">
        <f>SUM(G1440,G1465,G1468)</f>
        <v>18527044</v>
      </c>
      <c r="H1439" s="1509">
        <f t="shared" si="96"/>
        <v>1.2056858622784239</v>
      </c>
    </row>
    <row r="1440" spans="1:8" ht="17.100000000000001" customHeight="1">
      <c r="A1440" s="1556"/>
      <c r="B1440" s="1750"/>
      <c r="C1440" s="4664" t="s">
        <v>689</v>
      </c>
      <c r="D1440" s="4664"/>
      <c r="E1440" s="2900">
        <f>SUM(E1441,E1451)</f>
        <v>13083792</v>
      </c>
      <c r="F1440" s="2790">
        <f>SUM(F1441,F1451)</f>
        <v>14879923</v>
      </c>
      <c r="G1440" s="2912">
        <f>SUM(G1441,G1451)</f>
        <v>18355151</v>
      </c>
      <c r="H1440" s="2792">
        <f t="shared" si="96"/>
        <v>1.2335514773833172</v>
      </c>
    </row>
    <row r="1441" spans="1:8" ht="17.100000000000001" customHeight="1">
      <c r="A1441" s="1556"/>
      <c r="B1441" s="1750"/>
      <c r="C1441" s="4665" t="s">
        <v>690</v>
      </c>
      <c r="D1441" s="4665"/>
      <c r="E1441" s="2907">
        <f>SUM(E1442:E1449)</f>
        <v>12054522</v>
      </c>
      <c r="F1441" s="2865">
        <f>SUM(F1442:F1449)</f>
        <v>13602758</v>
      </c>
      <c r="G1441" s="2940">
        <f>SUM(G1442:G1449)</f>
        <v>16394932</v>
      </c>
      <c r="H1441" s="2867">
        <f t="shared" si="96"/>
        <v>1.2052652851723158</v>
      </c>
    </row>
    <row r="1442" spans="1:8" ht="17.100000000000001" customHeight="1">
      <c r="A1442" s="1556"/>
      <c r="B1442" s="1750"/>
      <c r="C1442" s="2898" t="s">
        <v>692</v>
      </c>
      <c r="D1442" s="2899" t="s">
        <v>693</v>
      </c>
      <c r="E1442" s="2900">
        <v>5485566</v>
      </c>
      <c r="F1442" s="2790">
        <v>5718846</v>
      </c>
      <c r="G1442" s="2901">
        <v>8558837</v>
      </c>
      <c r="H1442" s="2792">
        <f t="shared" si="96"/>
        <v>1.4966021116847699</v>
      </c>
    </row>
    <row r="1443" spans="1:8" ht="17.100000000000001" customHeight="1">
      <c r="A1443" s="1556"/>
      <c r="B1443" s="1750"/>
      <c r="C1443" s="2898" t="s">
        <v>694</v>
      </c>
      <c r="D1443" s="2899" t="s">
        <v>695</v>
      </c>
      <c r="E1443" s="2900">
        <v>415340</v>
      </c>
      <c r="F1443" s="2790">
        <v>415340</v>
      </c>
      <c r="G1443" s="2901">
        <v>583292</v>
      </c>
      <c r="H1443" s="2792">
        <f t="shared" si="96"/>
        <v>1.4043723214715655</v>
      </c>
    </row>
    <row r="1444" spans="1:8" ht="17.100000000000001" customHeight="1">
      <c r="A1444" s="1556"/>
      <c r="B1444" s="1750"/>
      <c r="C1444" s="2898" t="s">
        <v>696</v>
      </c>
      <c r="D1444" s="2899" t="s">
        <v>697</v>
      </c>
      <c r="E1444" s="2900">
        <v>1692809</v>
      </c>
      <c r="F1444" s="2790">
        <v>1862938</v>
      </c>
      <c r="G1444" s="2901">
        <v>2348807</v>
      </c>
      <c r="H1444" s="2792">
        <f t="shared" si="96"/>
        <v>1.2608079281221383</v>
      </c>
    </row>
    <row r="1445" spans="1:8" ht="17.100000000000001" customHeight="1">
      <c r="A1445" s="1556"/>
      <c r="B1445" s="1750"/>
      <c r="C1445" s="2902" t="s">
        <v>698</v>
      </c>
      <c r="D1445" s="2973" t="s">
        <v>699</v>
      </c>
      <c r="E1445" s="2900">
        <v>241287</v>
      </c>
      <c r="F1445" s="2790">
        <v>258772</v>
      </c>
      <c r="G1445" s="2901">
        <v>334376</v>
      </c>
      <c r="H1445" s="2792">
        <f t="shared" si="96"/>
        <v>1.2921645309384322</v>
      </c>
    </row>
    <row r="1446" spans="1:8" ht="16.5" customHeight="1">
      <c r="A1446" s="1556"/>
      <c r="B1446" s="1750"/>
      <c r="C1446" s="2952" t="s">
        <v>700</v>
      </c>
      <c r="D1446" s="2966" t="s">
        <v>701</v>
      </c>
      <c r="E1446" s="2900">
        <v>0</v>
      </c>
      <c r="F1446" s="2790">
        <v>6900</v>
      </c>
      <c r="G1446" s="2901">
        <v>0</v>
      </c>
      <c r="H1446" s="2792">
        <f t="shared" si="96"/>
        <v>0</v>
      </c>
    </row>
    <row r="1447" spans="1:8" ht="17.100000000000001" customHeight="1">
      <c r="A1447" s="1556"/>
      <c r="B1447" s="1750"/>
      <c r="C1447" s="2952" t="s">
        <v>702</v>
      </c>
      <c r="D1447" s="2966" t="s">
        <v>703</v>
      </c>
      <c r="E1447" s="2900">
        <v>91370</v>
      </c>
      <c r="F1447" s="2790">
        <v>93779</v>
      </c>
      <c r="G1447" s="2901">
        <v>47953</v>
      </c>
      <c r="H1447" s="2792">
        <f t="shared" si="96"/>
        <v>0.51134049200780562</v>
      </c>
    </row>
    <row r="1448" spans="1:8" ht="17.100000000000001" customHeight="1" thickBot="1">
      <c r="A1448" s="1797"/>
      <c r="B1448" s="2001"/>
      <c r="C1448" s="2926" t="s">
        <v>1110</v>
      </c>
      <c r="D1448" s="2941" t="s">
        <v>1111</v>
      </c>
      <c r="E1448" s="2800">
        <v>3813674</v>
      </c>
      <c r="F1448" s="1538">
        <v>4857333</v>
      </c>
      <c r="G1448" s="2747">
        <v>4187785</v>
      </c>
      <c r="H1448" s="1540">
        <f t="shared" si="96"/>
        <v>0.86215727849006851</v>
      </c>
    </row>
    <row r="1449" spans="1:8" ht="17.100000000000001" customHeight="1">
      <c r="A1449" s="1700"/>
      <c r="B1449" s="2411"/>
      <c r="C1449" s="2677" t="s">
        <v>1112</v>
      </c>
      <c r="D1449" s="2974" t="s">
        <v>1113</v>
      </c>
      <c r="E1449" s="2975">
        <v>314476</v>
      </c>
      <c r="F1449" s="1528">
        <v>388850</v>
      </c>
      <c r="G1449" s="1587">
        <v>333882</v>
      </c>
      <c r="H1449" s="1530">
        <f t="shared" si="96"/>
        <v>0.85863957824353865</v>
      </c>
    </row>
    <row r="1450" spans="1:8" ht="17.100000000000001" customHeight="1">
      <c r="A1450" s="1556"/>
      <c r="B1450" s="1750"/>
      <c r="C1450" s="2671"/>
      <c r="D1450" s="2192"/>
      <c r="E1450" s="2671"/>
      <c r="F1450" s="2790"/>
      <c r="G1450" s="2901"/>
      <c r="H1450" s="2792"/>
    </row>
    <row r="1451" spans="1:8" ht="17.100000000000001" customHeight="1">
      <c r="A1451" s="1750"/>
      <c r="B1451" s="1750"/>
      <c r="C1451" s="4427" t="s">
        <v>704</v>
      </c>
      <c r="D1451" s="4427"/>
      <c r="E1451" s="2950">
        <f>SUM(E1452:E1463)</f>
        <v>1029270</v>
      </c>
      <c r="F1451" s="1578">
        <f>SUM(F1452:F1463)</f>
        <v>1277165</v>
      </c>
      <c r="G1451" s="2951">
        <f>SUM(G1452:G1463)</f>
        <v>1960219</v>
      </c>
      <c r="H1451" s="1580">
        <f t="shared" ref="H1451:H1463" si="97">G1451/F1451</f>
        <v>1.5348204813003801</v>
      </c>
    </row>
    <row r="1452" spans="1:8" ht="17.100000000000001" customHeight="1">
      <c r="A1452" s="1556"/>
      <c r="B1452" s="1750"/>
      <c r="C1452" s="2898" t="s">
        <v>705</v>
      </c>
      <c r="D1452" s="2899" t="s">
        <v>706</v>
      </c>
      <c r="E1452" s="2900">
        <v>36513</v>
      </c>
      <c r="F1452" s="2790">
        <v>36513</v>
      </c>
      <c r="G1452" s="2901">
        <v>38244</v>
      </c>
      <c r="H1452" s="2792">
        <f t="shared" si="97"/>
        <v>1.0474077725741517</v>
      </c>
    </row>
    <row r="1453" spans="1:8" ht="16.5" customHeight="1">
      <c r="A1453" s="1556"/>
      <c r="B1453" s="1750"/>
      <c r="C1453" s="2898" t="s">
        <v>707</v>
      </c>
      <c r="D1453" s="2899" t="s">
        <v>708</v>
      </c>
      <c r="E1453" s="2900">
        <v>0</v>
      </c>
      <c r="F1453" s="2790">
        <v>2000</v>
      </c>
      <c r="G1453" s="2901">
        <v>253000</v>
      </c>
      <c r="H1453" s="2792">
        <f t="shared" si="97"/>
        <v>126.5</v>
      </c>
    </row>
    <row r="1454" spans="1:8" ht="17.100000000000001" customHeight="1">
      <c r="A1454" s="1556"/>
      <c r="B1454" s="1750"/>
      <c r="C1454" s="2898" t="s">
        <v>711</v>
      </c>
      <c r="D1454" s="2899" t="s">
        <v>712</v>
      </c>
      <c r="E1454" s="2900">
        <v>246011</v>
      </c>
      <c r="F1454" s="2790">
        <v>246011</v>
      </c>
      <c r="G1454" s="2901">
        <v>282900</v>
      </c>
      <c r="H1454" s="2792">
        <f t="shared" si="97"/>
        <v>1.1499485795350615</v>
      </c>
    </row>
    <row r="1455" spans="1:8" ht="17.100000000000001" customHeight="1">
      <c r="A1455" s="1556"/>
      <c r="B1455" s="1750"/>
      <c r="C1455" s="2898" t="s">
        <v>713</v>
      </c>
      <c r="D1455" s="2899" t="s">
        <v>714</v>
      </c>
      <c r="E1455" s="2900">
        <v>347880</v>
      </c>
      <c r="F1455" s="2790">
        <v>347880</v>
      </c>
      <c r="G1455" s="2901">
        <v>884805</v>
      </c>
      <c r="H1455" s="2792">
        <f t="shared" si="97"/>
        <v>2.543420144877544</v>
      </c>
    </row>
    <row r="1456" spans="1:8" ht="17.100000000000001" customHeight="1">
      <c r="A1456" s="1556"/>
      <c r="B1456" s="1750"/>
      <c r="C1456" s="2898" t="s">
        <v>715</v>
      </c>
      <c r="D1456" s="2899" t="s">
        <v>716</v>
      </c>
      <c r="E1456" s="2900">
        <v>9500</v>
      </c>
      <c r="F1456" s="2790">
        <v>14100</v>
      </c>
      <c r="G1456" s="2901">
        <v>26250</v>
      </c>
      <c r="H1456" s="2792">
        <f t="shared" si="97"/>
        <v>1.8617021276595744</v>
      </c>
    </row>
    <row r="1457" spans="1:8" ht="17.100000000000001" customHeight="1">
      <c r="A1457" s="1556"/>
      <c r="B1457" s="1750"/>
      <c r="C1457" s="2898" t="s">
        <v>717</v>
      </c>
      <c r="D1457" s="2899" t="s">
        <v>718</v>
      </c>
      <c r="E1457" s="2900">
        <v>34493</v>
      </c>
      <c r="F1457" s="2790">
        <v>73493</v>
      </c>
      <c r="G1457" s="2901">
        <v>52040</v>
      </c>
      <c r="H1457" s="2792">
        <f t="shared" si="97"/>
        <v>0.70809464846992232</v>
      </c>
    </row>
    <row r="1458" spans="1:8" ht="17.100000000000001" hidden="1" customHeight="1">
      <c r="A1458" s="1556"/>
      <c r="B1458" s="1750"/>
      <c r="C1458" s="2976" t="s">
        <v>721</v>
      </c>
      <c r="D1458" s="2899" t="s">
        <v>722</v>
      </c>
      <c r="E1458" s="2900">
        <v>0</v>
      </c>
      <c r="F1458" s="2790"/>
      <c r="G1458" s="2901"/>
      <c r="H1458" s="2792" t="e">
        <f t="shared" si="97"/>
        <v>#DIV/0!</v>
      </c>
    </row>
    <row r="1459" spans="1:8" ht="17.100000000000001" customHeight="1">
      <c r="A1459" s="1556"/>
      <c r="B1459" s="1750"/>
      <c r="C1459" s="2898" t="s">
        <v>725</v>
      </c>
      <c r="D1459" s="2899" t="s">
        <v>726</v>
      </c>
      <c r="E1459" s="2900">
        <v>26504</v>
      </c>
      <c r="F1459" s="2790">
        <v>36504</v>
      </c>
      <c r="G1459" s="2901">
        <v>30202</v>
      </c>
      <c r="H1459" s="2792">
        <f t="shared" si="97"/>
        <v>0.82736138505369272</v>
      </c>
    </row>
    <row r="1460" spans="1:8" ht="17.100000000000001" hidden="1" customHeight="1">
      <c r="A1460" s="1556"/>
      <c r="B1460" s="1750"/>
      <c r="C1460" s="2898" t="s">
        <v>727</v>
      </c>
      <c r="D1460" s="2899" t="s">
        <v>728</v>
      </c>
      <c r="E1460" s="2900">
        <v>0</v>
      </c>
      <c r="F1460" s="2790"/>
      <c r="G1460" s="2901"/>
      <c r="H1460" s="2792" t="e">
        <f t="shared" si="97"/>
        <v>#DIV/0!</v>
      </c>
    </row>
    <row r="1461" spans="1:8" ht="17.100000000000001" customHeight="1">
      <c r="A1461" s="1556"/>
      <c r="B1461" s="1750"/>
      <c r="C1461" s="2898" t="s">
        <v>729</v>
      </c>
      <c r="D1461" s="2899" t="s">
        <v>730</v>
      </c>
      <c r="E1461" s="2900">
        <v>313080</v>
      </c>
      <c r="F1461" s="2790">
        <v>359275</v>
      </c>
      <c r="G1461" s="2901">
        <v>375278</v>
      </c>
      <c r="H1461" s="2792">
        <f t="shared" si="97"/>
        <v>1.0445424813861248</v>
      </c>
    </row>
    <row r="1462" spans="1:8" ht="17.100000000000001" customHeight="1">
      <c r="A1462" s="1556"/>
      <c r="B1462" s="1750"/>
      <c r="C1462" s="2976" t="s">
        <v>737</v>
      </c>
      <c r="D1462" s="2899" t="s">
        <v>738</v>
      </c>
      <c r="E1462" s="2900">
        <v>200</v>
      </c>
      <c r="F1462" s="2790">
        <v>200</v>
      </c>
      <c r="G1462" s="2901">
        <v>200</v>
      </c>
      <c r="H1462" s="2792">
        <f t="shared" si="97"/>
        <v>1</v>
      </c>
    </row>
    <row r="1463" spans="1:8" ht="16.5" customHeight="1">
      <c r="A1463" s="1556"/>
      <c r="B1463" s="1750"/>
      <c r="C1463" s="2898" t="s">
        <v>739</v>
      </c>
      <c r="D1463" s="2899" t="s">
        <v>740</v>
      </c>
      <c r="E1463" s="2900">
        <v>15089</v>
      </c>
      <c r="F1463" s="2790">
        <v>161189</v>
      </c>
      <c r="G1463" s="2901">
        <v>17300</v>
      </c>
      <c r="H1463" s="2792">
        <f t="shared" si="97"/>
        <v>0.10732742308718336</v>
      </c>
    </row>
    <row r="1464" spans="1:8" ht="17.100000000000001" customHeight="1">
      <c r="A1464" s="1556"/>
      <c r="B1464" s="1750"/>
      <c r="C1464" s="1470"/>
      <c r="D1464" s="1470"/>
      <c r="E1464" s="1454"/>
      <c r="F1464" s="2790"/>
      <c r="G1464" s="2901"/>
      <c r="H1464" s="2792"/>
    </row>
    <row r="1465" spans="1:8" ht="17.100000000000001" customHeight="1">
      <c r="A1465" s="1556"/>
      <c r="B1465" s="1750"/>
      <c r="C1465" s="4666" t="s">
        <v>1026</v>
      </c>
      <c r="D1465" s="4666"/>
      <c r="E1465" s="2977">
        <f>SUM(E1466)</f>
        <v>14600</v>
      </c>
      <c r="F1465" s="2978">
        <f>SUM(F1466)</f>
        <v>14600</v>
      </c>
      <c r="G1465" s="2979">
        <f>SUM(G1466)</f>
        <v>26250</v>
      </c>
      <c r="H1465" s="2792">
        <f>G1465/F1465</f>
        <v>1.797945205479452</v>
      </c>
    </row>
    <row r="1466" spans="1:8" ht="17.100000000000001" customHeight="1">
      <c r="A1466" s="1556"/>
      <c r="B1466" s="1750"/>
      <c r="C1466" s="2980" t="s">
        <v>742</v>
      </c>
      <c r="D1466" s="2910" t="s">
        <v>743</v>
      </c>
      <c r="E1466" s="2981">
        <v>14600</v>
      </c>
      <c r="F1466" s="2790">
        <v>14600</v>
      </c>
      <c r="G1466" s="2696">
        <v>26250</v>
      </c>
      <c r="H1466" s="2792">
        <f>G1466/F1466</f>
        <v>1.797945205479452</v>
      </c>
    </row>
    <row r="1467" spans="1:8" ht="15.75" customHeight="1">
      <c r="A1467" s="1556"/>
      <c r="B1467" s="1750"/>
      <c r="C1467" s="2914"/>
      <c r="D1467" s="2982"/>
      <c r="E1467" s="2918"/>
      <c r="F1467" s="2805"/>
      <c r="G1467" s="2442"/>
      <c r="H1467" s="2807"/>
    </row>
    <row r="1468" spans="1:8" ht="17.25" customHeight="1">
      <c r="A1468" s="1556"/>
      <c r="B1468" s="1750"/>
      <c r="C1468" s="4651" t="s">
        <v>761</v>
      </c>
      <c r="D1468" s="4464"/>
      <c r="E1468" s="2954">
        <f>SUM(E1475:E1513)</f>
        <v>60085</v>
      </c>
      <c r="F1468" s="1451">
        <f>SUM(F1475:F1513)</f>
        <v>471871</v>
      </c>
      <c r="G1468" s="2983">
        <f>SUM(G1475:G1513)</f>
        <v>145643</v>
      </c>
      <c r="H1468" s="2792">
        <f t="shared" ref="H1468:H1513" si="98">G1468/F1468</f>
        <v>0.30865003358968873</v>
      </c>
    </row>
    <row r="1469" spans="1:8" ht="54" hidden="1" customHeight="1">
      <c r="A1469" s="1556"/>
      <c r="B1469" s="1750"/>
      <c r="C1469" s="2984" t="s">
        <v>446</v>
      </c>
      <c r="D1469" s="2985" t="s">
        <v>1038</v>
      </c>
      <c r="E1469" s="2986">
        <v>0</v>
      </c>
      <c r="F1469" s="2790"/>
      <c r="G1469" s="2987"/>
      <c r="H1469" s="2792" t="e">
        <f t="shared" si="98"/>
        <v>#DIV/0!</v>
      </c>
    </row>
    <row r="1470" spans="1:8" ht="51" hidden="1">
      <c r="A1470" s="1556"/>
      <c r="B1470" s="1750"/>
      <c r="C1470" s="2988" t="s">
        <v>448</v>
      </c>
      <c r="D1470" s="2985" t="s">
        <v>1038</v>
      </c>
      <c r="E1470" s="2986">
        <v>0</v>
      </c>
      <c r="F1470" s="2790"/>
      <c r="G1470" s="2987"/>
      <c r="H1470" s="2792" t="e">
        <f t="shared" si="98"/>
        <v>#DIV/0!</v>
      </c>
    </row>
    <row r="1471" spans="1:8" ht="15.75" hidden="1" customHeight="1">
      <c r="A1471" s="1556"/>
      <c r="B1471" s="1750"/>
      <c r="C1471" s="2989" t="s">
        <v>610</v>
      </c>
      <c r="D1471" s="2985" t="s">
        <v>825</v>
      </c>
      <c r="E1471" s="2986">
        <v>0</v>
      </c>
      <c r="F1471" s="2790"/>
      <c r="G1471" s="2987"/>
      <c r="H1471" s="2792" t="e">
        <f t="shared" si="98"/>
        <v>#DIV/0!</v>
      </c>
    </row>
    <row r="1472" spans="1:8" ht="17.100000000000001" hidden="1" customHeight="1">
      <c r="A1472" s="1556"/>
      <c r="B1472" s="1750"/>
      <c r="C1472" s="2989" t="s">
        <v>1132</v>
      </c>
      <c r="D1472" s="2985" t="s">
        <v>743</v>
      </c>
      <c r="E1472" s="2986">
        <v>0</v>
      </c>
      <c r="F1472" s="2790"/>
      <c r="G1472" s="2987"/>
      <c r="H1472" s="2792" t="e">
        <f t="shared" si="98"/>
        <v>#DIV/0!</v>
      </c>
    </row>
    <row r="1473" spans="1:8" ht="17.100000000000001" hidden="1" customHeight="1">
      <c r="A1473" s="1556"/>
      <c r="B1473" s="1750"/>
      <c r="C1473" s="2989" t="s">
        <v>995</v>
      </c>
      <c r="D1473" s="2985" t="s">
        <v>743</v>
      </c>
      <c r="E1473" s="2986">
        <v>0</v>
      </c>
      <c r="F1473" s="2790"/>
      <c r="G1473" s="2987"/>
      <c r="H1473" s="2792" t="e">
        <f t="shared" si="98"/>
        <v>#DIV/0!</v>
      </c>
    </row>
    <row r="1474" spans="1:8" ht="17.100000000000001" hidden="1" customHeight="1">
      <c r="A1474" s="1556"/>
      <c r="B1474" s="1750"/>
      <c r="C1474" s="2989" t="s">
        <v>910</v>
      </c>
      <c r="D1474" s="2990" t="s">
        <v>693</v>
      </c>
      <c r="E1474" s="2986">
        <v>0</v>
      </c>
      <c r="F1474" s="2790"/>
      <c r="G1474" s="2987"/>
      <c r="H1474" s="2792" t="e">
        <f t="shared" si="98"/>
        <v>#DIV/0!</v>
      </c>
    </row>
    <row r="1475" spans="1:8" ht="17.100000000000001" customHeight="1">
      <c r="A1475" s="1556"/>
      <c r="B1475" s="1750"/>
      <c r="C1475" s="2991" t="s">
        <v>827</v>
      </c>
      <c r="D1475" s="2990" t="s">
        <v>693</v>
      </c>
      <c r="E1475" s="2986">
        <v>27165</v>
      </c>
      <c r="F1475" s="2790">
        <v>82445</v>
      </c>
      <c r="G1475" s="2987">
        <v>19515</v>
      </c>
      <c r="H1475" s="2792">
        <f t="shared" si="98"/>
        <v>0.23670325671659895</v>
      </c>
    </row>
    <row r="1476" spans="1:8" ht="17.100000000000001" customHeight="1">
      <c r="A1476" s="1556"/>
      <c r="B1476" s="1750"/>
      <c r="C1476" s="2991" t="s">
        <v>767</v>
      </c>
      <c r="D1476" s="2990" t="s">
        <v>693</v>
      </c>
      <c r="E1476" s="2986">
        <v>4933</v>
      </c>
      <c r="F1476" s="2790">
        <v>14973</v>
      </c>
      <c r="G1476" s="2987">
        <v>3544</v>
      </c>
      <c r="H1476" s="2792">
        <f t="shared" si="98"/>
        <v>0.23669271355105856</v>
      </c>
    </row>
    <row r="1477" spans="1:8" ht="17.100000000000001" hidden="1" customHeight="1">
      <c r="A1477" s="1556"/>
      <c r="B1477" s="1750"/>
      <c r="C1477" s="2991" t="s">
        <v>912</v>
      </c>
      <c r="D1477" s="2990" t="s">
        <v>697</v>
      </c>
      <c r="E1477" s="2986">
        <v>0</v>
      </c>
      <c r="F1477" s="2790"/>
      <c r="G1477" s="2987"/>
      <c r="H1477" s="2792" t="e">
        <f t="shared" si="98"/>
        <v>#DIV/0!</v>
      </c>
    </row>
    <row r="1478" spans="1:8" ht="17.100000000000001" customHeight="1">
      <c r="A1478" s="1556"/>
      <c r="B1478" s="1750"/>
      <c r="C1478" s="2991" t="s">
        <v>829</v>
      </c>
      <c r="D1478" s="2990" t="s">
        <v>697</v>
      </c>
      <c r="E1478" s="2986">
        <v>4670</v>
      </c>
      <c r="F1478" s="2790">
        <v>34714</v>
      </c>
      <c r="G1478" s="2987">
        <v>15629</v>
      </c>
      <c r="H1478" s="2792">
        <f t="shared" si="98"/>
        <v>0.45022181252520599</v>
      </c>
    </row>
    <row r="1479" spans="1:8" ht="17.100000000000001" customHeight="1">
      <c r="A1479" s="1750"/>
      <c r="B1479" s="1750"/>
      <c r="C1479" s="2992" t="s">
        <v>771</v>
      </c>
      <c r="D1479" s="2993" t="s">
        <v>697</v>
      </c>
      <c r="E1479" s="2994">
        <v>848</v>
      </c>
      <c r="F1479" s="2790">
        <v>6326</v>
      </c>
      <c r="G1479" s="2987">
        <v>2839</v>
      </c>
      <c r="H1479" s="2792">
        <f t="shared" si="98"/>
        <v>0.44878280113815999</v>
      </c>
    </row>
    <row r="1480" spans="1:8" ht="30" hidden="1" customHeight="1">
      <c r="A1480" s="1556"/>
      <c r="B1480" s="1750"/>
      <c r="C1480" s="1478" t="s">
        <v>914</v>
      </c>
      <c r="D1480" s="1479" t="s">
        <v>831</v>
      </c>
      <c r="E1480" s="1457">
        <v>0</v>
      </c>
      <c r="F1480" s="2790"/>
      <c r="G1480" s="2987"/>
      <c r="H1480" s="2792" t="e">
        <f t="shared" si="98"/>
        <v>#DIV/0!</v>
      </c>
    </row>
    <row r="1481" spans="1:8" ht="16.5" customHeight="1">
      <c r="A1481" s="1750"/>
      <c r="B1481" s="1556"/>
      <c r="C1481" s="2995" t="s">
        <v>830</v>
      </c>
      <c r="D1481" s="2996" t="s">
        <v>699</v>
      </c>
      <c r="E1481" s="2994">
        <v>665</v>
      </c>
      <c r="F1481" s="2790">
        <v>4836</v>
      </c>
      <c r="G1481" s="2987">
        <v>2196</v>
      </c>
      <c r="H1481" s="2792">
        <f t="shared" si="98"/>
        <v>0.45409429280397023</v>
      </c>
    </row>
    <row r="1482" spans="1:8" ht="16.5" customHeight="1">
      <c r="A1482" s="1556"/>
      <c r="B1482" s="1556"/>
      <c r="C1482" s="2997" t="s">
        <v>773</v>
      </c>
      <c r="D1482" s="2998" t="s">
        <v>699</v>
      </c>
      <c r="E1482" s="2994">
        <v>121</v>
      </c>
      <c r="F1482" s="2790">
        <v>883</v>
      </c>
      <c r="G1482" s="2987">
        <v>399</v>
      </c>
      <c r="H1482" s="2792">
        <f t="shared" si="98"/>
        <v>0.45186862967157415</v>
      </c>
    </row>
    <row r="1483" spans="1:8" ht="18.75" hidden="1" customHeight="1">
      <c r="A1483" s="1556"/>
      <c r="B1483" s="1556"/>
      <c r="C1483" s="2997" t="s">
        <v>1133</v>
      </c>
      <c r="D1483" s="2998" t="s">
        <v>701</v>
      </c>
      <c r="E1483" s="2994">
        <v>0</v>
      </c>
      <c r="F1483" s="2790"/>
      <c r="G1483" s="2987"/>
      <c r="H1483" s="2792" t="e">
        <f t="shared" si="98"/>
        <v>#DIV/0!</v>
      </c>
    </row>
    <row r="1484" spans="1:8" ht="17.100000000000001" customHeight="1">
      <c r="A1484" s="1556"/>
      <c r="B1484" s="1556"/>
      <c r="C1484" s="2997" t="s">
        <v>970</v>
      </c>
      <c r="D1484" s="2998" t="s">
        <v>701</v>
      </c>
      <c r="E1484" s="2994">
        <v>4668</v>
      </c>
      <c r="F1484" s="2790">
        <v>52919</v>
      </c>
      <c r="G1484" s="2987">
        <v>25389</v>
      </c>
      <c r="H1484" s="2792">
        <f t="shared" si="98"/>
        <v>0.47977097072884978</v>
      </c>
    </row>
    <row r="1485" spans="1:8" ht="17.100000000000001" customHeight="1">
      <c r="A1485" s="1556"/>
      <c r="B1485" s="1556"/>
      <c r="C1485" s="2997" t="s">
        <v>775</v>
      </c>
      <c r="D1485" s="2998" t="s">
        <v>701</v>
      </c>
      <c r="E1485" s="2994">
        <v>848</v>
      </c>
      <c r="F1485" s="2790">
        <v>9609</v>
      </c>
      <c r="G1485" s="2987">
        <v>4611</v>
      </c>
      <c r="H1485" s="2792">
        <f t="shared" si="98"/>
        <v>0.47986262878551356</v>
      </c>
    </row>
    <row r="1486" spans="1:8" ht="17.100000000000001" hidden="1" customHeight="1">
      <c r="A1486" s="1556"/>
      <c r="B1486" s="1556"/>
      <c r="C1486" s="2997" t="s">
        <v>916</v>
      </c>
      <c r="D1486" s="2999" t="s">
        <v>708</v>
      </c>
      <c r="E1486" s="2900">
        <v>0</v>
      </c>
      <c r="F1486" s="2790"/>
      <c r="G1486" s="2987"/>
      <c r="H1486" s="2792" t="e">
        <f t="shared" si="98"/>
        <v>#DIV/0!</v>
      </c>
    </row>
    <row r="1487" spans="1:8" ht="17.100000000000001" customHeight="1">
      <c r="A1487" s="1556"/>
      <c r="B1487" s="1556"/>
      <c r="C1487" s="2997" t="s">
        <v>832</v>
      </c>
      <c r="D1487" s="2998" t="s">
        <v>708</v>
      </c>
      <c r="E1487" s="2994">
        <v>85</v>
      </c>
      <c r="F1487" s="2790">
        <v>41569</v>
      </c>
      <c r="G1487" s="2987">
        <v>1571</v>
      </c>
      <c r="H1487" s="2792">
        <f t="shared" si="98"/>
        <v>3.7792585821164813E-2</v>
      </c>
    </row>
    <row r="1488" spans="1:8" ht="17.100000000000001" customHeight="1">
      <c r="A1488" s="1556"/>
      <c r="B1488" s="1556"/>
      <c r="C1488" s="2997" t="s">
        <v>780</v>
      </c>
      <c r="D1488" s="2998" t="s">
        <v>708</v>
      </c>
      <c r="E1488" s="2994">
        <v>15</v>
      </c>
      <c r="F1488" s="2790">
        <v>7722</v>
      </c>
      <c r="G1488" s="2987">
        <v>285</v>
      </c>
      <c r="H1488" s="2792">
        <f t="shared" si="98"/>
        <v>3.6907536907536904E-2</v>
      </c>
    </row>
    <row r="1489" spans="1:8" ht="17.100000000000001" hidden="1" customHeight="1">
      <c r="A1489" s="1556"/>
      <c r="B1489" s="1556"/>
      <c r="C1489" s="2997" t="s">
        <v>1134</v>
      </c>
      <c r="D1489" s="2998" t="s">
        <v>710</v>
      </c>
      <c r="E1489" s="2994">
        <v>0</v>
      </c>
      <c r="F1489" s="2790"/>
      <c r="G1489" s="2987"/>
      <c r="H1489" s="2792" t="e">
        <f t="shared" si="98"/>
        <v>#DIV/0!</v>
      </c>
    </row>
    <row r="1490" spans="1:8" ht="17.100000000000001" customHeight="1">
      <c r="A1490" s="1556"/>
      <c r="B1490" s="1556"/>
      <c r="C1490" s="2997" t="s">
        <v>1135</v>
      </c>
      <c r="D1490" s="2998" t="s">
        <v>710</v>
      </c>
      <c r="E1490" s="2994">
        <v>11510</v>
      </c>
      <c r="F1490" s="2790">
        <v>34510</v>
      </c>
      <c r="G1490" s="2987">
        <v>9394</v>
      </c>
      <c r="H1490" s="2792">
        <f t="shared" si="98"/>
        <v>0.27221095334685597</v>
      </c>
    </row>
    <row r="1491" spans="1:8" ht="17.100000000000001" customHeight="1">
      <c r="A1491" s="1556"/>
      <c r="B1491" s="1556"/>
      <c r="C1491" s="2997" t="s">
        <v>1045</v>
      </c>
      <c r="D1491" s="2998" t="s">
        <v>710</v>
      </c>
      <c r="E1491" s="2994">
        <v>2090</v>
      </c>
      <c r="F1491" s="2790">
        <v>6269</v>
      </c>
      <c r="G1491" s="2987">
        <v>1706</v>
      </c>
      <c r="H1491" s="2792">
        <f t="shared" si="98"/>
        <v>0.27213271654171317</v>
      </c>
    </row>
    <row r="1492" spans="1:8" ht="17.100000000000001" customHeight="1">
      <c r="A1492" s="1556"/>
      <c r="B1492" s="1556"/>
      <c r="C1492" s="2997" t="s">
        <v>1129</v>
      </c>
      <c r="D1492" s="2998" t="s">
        <v>943</v>
      </c>
      <c r="E1492" s="2994">
        <v>0</v>
      </c>
      <c r="F1492" s="2790">
        <v>19691</v>
      </c>
      <c r="G1492" s="2987">
        <v>0</v>
      </c>
      <c r="H1492" s="2792">
        <f t="shared" si="98"/>
        <v>0</v>
      </c>
    </row>
    <row r="1493" spans="1:8" ht="17.100000000000001" customHeight="1">
      <c r="A1493" s="1556"/>
      <c r="B1493" s="1556"/>
      <c r="C1493" s="2997" t="s">
        <v>1130</v>
      </c>
      <c r="D1493" s="2998" t="s">
        <v>943</v>
      </c>
      <c r="E1493" s="2994">
        <v>0</v>
      </c>
      <c r="F1493" s="2790">
        <v>3576</v>
      </c>
      <c r="G1493" s="2987">
        <v>0</v>
      </c>
      <c r="H1493" s="2792">
        <f t="shared" si="98"/>
        <v>0</v>
      </c>
    </row>
    <row r="1494" spans="1:8" ht="17.100000000000001" customHeight="1">
      <c r="A1494" s="1556"/>
      <c r="B1494" s="1556"/>
      <c r="C1494" s="2997" t="s">
        <v>1046</v>
      </c>
      <c r="D1494" s="2998" t="s">
        <v>712</v>
      </c>
      <c r="E1494" s="2994">
        <v>0</v>
      </c>
      <c r="F1494" s="2790">
        <v>1016</v>
      </c>
      <c r="G1494" s="2987">
        <v>422</v>
      </c>
      <c r="H1494" s="2792">
        <f t="shared" si="98"/>
        <v>0.4153543307086614</v>
      </c>
    </row>
    <row r="1495" spans="1:8" ht="17.100000000000001" customHeight="1">
      <c r="A1495" s="1556"/>
      <c r="B1495" s="1556"/>
      <c r="C1495" s="2997" t="s">
        <v>1001</v>
      </c>
      <c r="D1495" s="2998" t="s">
        <v>712</v>
      </c>
      <c r="E1495" s="2994">
        <v>0</v>
      </c>
      <c r="F1495" s="2790">
        <v>184</v>
      </c>
      <c r="G1495" s="2987">
        <v>78</v>
      </c>
      <c r="H1495" s="2792">
        <f t="shared" si="98"/>
        <v>0.42391304347826086</v>
      </c>
    </row>
    <row r="1496" spans="1:8" ht="17.100000000000001" hidden="1" customHeight="1">
      <c r="A1496" s="1556"/>
      <c r="B1496" s="1556"/>
      <c r="C1496" s="2997" t="s">
        <v>918</v>
      </c>
      <c r="D1496" s="2998" t="s">
        <v>718</v>
      </c>
      <c r="E1496" s="2994">
        <v>0</v>
      </c>
      <c r="F1496" s="2790"/>
      <c r="G1496" s="2987"/>
      <c r="H1496" s="2792" t="e">
        <f t="shared" si="98"/>
        <v>#DIV/0!</v>
      </c>
    </row>
    <row r="1497" spans="1:8" ht="17.100000000000001" customHeight="1">
      <c r="A1497" s="1556"/>
      <c r="B1497" s="1556"/>
      <c r="C1497" s="2997" t="s">
        <v>833</v>
      </c>
      <c r="D1497" s="2998" t="s">
        <v>718</v>
      </c>
      <c r="E1497" s="2994">
        <v>86</v>
      </c>
      <c r="F1497" s="2790">
        <v>4422</v>
      </c>
      <c r="G1497" s="2987">
        <v>914</v>
      </c>
      <c r="H1497" s="2792">
        <f t="shared" si="98"/>
        <v>0.20669380370872908</v>
      </c>
    </row>
    <row r="1498" spans="1:8" ht="17.100000000000001" customHeight="1">
      <c r="A1498" s="1556"/>
      <c r="B1498" s="1556"/>
      <c r="C1498" s="2997" t="s">
        <v>784</v>
      </c>
      <c r="D1498" s="2998" t="s">
        <v>718</v>
      </c>
      <c r="E1498" s="2994">
        <v>16</v>
      </c>
      <c r="F1498" s="2790">
        <v>804</v>
      </c>
      <c r="G1498" s="2987">
        <v>166</v>
      </c>
      <c r="H1498" s="2792">
        <f t="shared" si="98"/>
        <v>0.20646766169154229</v>
      </c>
    </row>
    <row r="1499" spans="1:8" ht="27.75" hidden="1" customHeight="1">
      <c r="A1499" s="1556"/>
      <c r="B1499" s="1556"/>
      <c r="C1499" s="2997" t="s">
        <v>1122</v>
      </c>
      <c r="D1499" s="2998" t="s">
        <v>1123</v>
      </c>
      <c r="E1499" s="2994">
        <v>0</v>
      </c>
      <c r="F1499" s="2790"/>
      <c r="G1499" s="2987"/>
      <c r="H1499" s="2792" t="e">
        <f t="shared" si="98"/>
        <v>#DIV/0!</v>
      </c>
    </row>
    <row r="1500" spans="1:8" ht="25.5" hidden="1">
      <c r="A1500" s="1556"/>
      <c r="B1500" s="1556"/>
      <c r="C1500" s="2997" t="s">
        <v>1136</v>
      </c>
      <c r="D1500" s="2998" t="s">
        <v>1137</v>
      </c>
      <c r="E1500" s="2994">
        <v>0</v>
      </c>
      <c r="F1500" s="2790"/>
      <c r="G1500" s="2987"/>
      <c r="H1500" s="2792" t="e">
        <f t="shared" si="98"/>
        <v>#DIV/0!</v>
      </c>
    </row>
    <row r="1501" spans="1:8" ht="30.75" hidden="1" customHeight="1">
      <c r="A1501" s="1556"/>
      <c r="B1501" s="1556"/>
      <c r="C1501" s="2997" t="s">
        <v>1138</v>
      </c>
      <c r="D1501" s="2998" t="s">
        <v>1137</v>
      </c>
      <c r="E1501" s="2994">
        <v>0</v>
      </c>
      <c r="F1501" s="2790"/>
      <c r="G1501" s="2987"/>
      <c r="H1501" s="2792" t="e">
        <f t="shared" si="98"/>
        <v>#DIV/0!</v>
      </c>
    </row>
    <row r="1502" spans="1:8" ht="16.5" hidden="1" customHeight="1">
      <c r="A1502" s="1556"/>
      <c r="B1502" s="1556"/>
      <c r="C1502" s="2997" t="s">
        <v>1139</v>
      </c>
      <c r="D1502" s="2998" t="s">
        <v>1140</v>
      </c>
      <c r="E1502" s="2994">
        <v>0</v>
      </c>
      <c r="F1502" s="2790"/>
      <c r="G1502" s="2987"/>
      <c r="H1502" s="2792" t="e">
        <f t="shared" si="98"/>
        <v>#DIV/0!</v>
      </c>
    </row>
    <row r="1503" spans="1:8" ht="17.100000000000001" customHeight="1">
      <c r="A1503" s="1556"/>
      <c r="B1503" s="1556"/>
      <c r="C1503" s="2997" t="s">
        <v>1050</v>
      </c>
      <c r="D1503" s="2998" t="s">
        <v>1140</v>
      </c>
      <c r="E1503" s="2994">
        <v>0</v>
      </c>
      <c r="F1503" s="2790">
        <v>508</v>
      </c>
      <c r="G1503" s="3000">
        <v>212</v>
      </c>
      <c r="H1503" s="2792">
        <f t="shared" si="98"/>
        <v>0.41732283464566927</v>
      </c>
    </row>
    <row r="1504" spans="1:8" ht="17.100000000000001" customHeight="1">
      <c r="A1504" s="1556"/>
      <c r="B1504" s="1556"/>
      <c r="C1504" s="2997" t="s">
        <v>1052</v>
      </c>
      <c r="D1504" s="2998" t="s">
        <v>1140</v>
      </c>
      <c r="E1504" s="2994">
        <v>0</v>
      </c>
      <c r="F1504" s="2790">
        <v>92</v>
      </c>
      <c r="G1504" s="3000">
        <v>38</v>
      </c>
      <c r="H1504" s="2792">
        <f t="shared" si="98"/>
        <v>0.41304347826086957</v>
      </c>
    </row>
    <row r="1505" spans="1:8" ht="17.100000000000001" hidden="1" customHeight="1">
      <c r="A1505" s="1556"/>
      <c r="B1505" s="1556"/>
      <c r="C1505" s="3001" t="s">
        <v>920</v>
      </c>
      <c r="D1505" s="2999" t="s">
        <v>901</v>
      </c>
      <c r="E1505" s="2900">
        <v>0</v>
      </c>
      <c r="F1505" s="2790"/>
      <c r="G1505" s="2987"/>
      <c r="H1505" s="2792" t="e">
        <f t="shared" si="98"/>
        <v>#DIV/0!</v>
      </c>
    </row>
    <row r="1506" spans="1:8" ht="17.100000000000001" hidden="1" customHeight="1">
      <c r="A1506" s="1556"/>
      <c r="B1506" s="1556"/>
      <c r="C1506" s="3001" t="s">
        <v>971</v>
      </c>
      <c r="D1506" s="2998" t="s">
        <v>901</v>
      </c>
      <c r="E1506" s="2994">
        <v>0</v>
      </c>
      <c r="F1506" s="2790"/>
      <c r="G1506" s="2987"/>
      <c r="H1506" s="2792" t="e">
        <f t="shared" si="98"/>
        <v>#DIV/0!</v>
      </c>
    </row>
    <row r="1507" spans="1:8" ht="17.100000000000001" hidden="1" customHeight="1">
      <c r="A1507" s="1556"/>
      <c r="B1507" s="1556"/>
      <c r="C1507" s="3001" t="s">
        <v>922</v>
      </c>
      <c r="D1507" s="3002" t="s">
        <v>726</v>
      </c>
      <c r="E1507" s="2994">
        <v>0</v>
      </c>
      <c r="F1507" s="2790"/>
      <c r="G1507" s="2987"/>
      <c r="H1507" s="2792" t="e">
        <f t="shared" si="98"/>
        <v>#DIV/0!</v>
      </c>
    </row>
    <row r="1508" spans="1:8" ht="17.100000000000001" customHeight="1">
      <c r="A1508" s="1556"/>
      <c r="B1508" s="1556"/>
      <c r="C1508" s="2992" t="s">
        <v>835</v>
      </c>
      <c r="D1508" s="3003" t="s">
        <v>726</v>
      </c>
      <c r="E1508" s="2900">
        <v>1593</v>
      </c>
      <c r="F1508" s="2790">
        <v>8395</v>
      </c>
      <c r="G1508" s="3004">
        <v>0</v>
      </c>
      <c r="H1508" s="2792">
        <f t="shared" si="98"/>
        <v>0</v>
      </c>
    </row>
    <row r="1509" spans="1:8" ht="17.100000000000001" customHeight="1">
      <c r="A1509" s="1750"/>
      <c r="B1509" s="1750"/>
      <c r="C1509" s="2697" t="s">
        <v>788</v>
      </c>
      <c r="D1509" s="2673" t="s">
        <v>726</v>
      </c>
      <c r="E1509" s="2954">
        <v>290</v>
      </c>
      <c r="F1509" s="1451">
        <v>1526</v>
      </c>
      <c r="G1509" s="2617">
        <v>0</v>
      </c>
      <c r="H1509" s="1453">
        <f t="shared" si="98"/>
        <v>0</v>
      </c>
    </row>
    <row r="1510" spans="1:8" ht="16.5" customHeight="1">
      <c r="A1510" s="1556"/>
      <c r="B1510" s="1556"/>
      <c r="C1510" s="2997" t="s">
        <v>837</v>
      </c>
      <c r="D1510" s="3005" t="s">
        <v>703</v>
      </c>
      <c r="E1510" s="2994">
        <v>408</v>
      </c>
      <c r="F1510" s="2790">
        <v>5129</v>
      </c>
      <c r="G1510" s="2987">
        <v>1088</v>
      </c>
      <c r="H1510" s="2792">
        <f t="shared" si="98"/>
        <v>0.21212712029635405</v>
      </c>
    </row>
    <row r="1511" spans="1:8" ht="16.5" customHeight="1">
      <c r="A1511" s="1556"/>
      <c r="B1511" s="1556"/>
      <c r="C1511" s="2992" t="s">
        <v>796</v>
      </c>
      <c r="D1511" s="3006" t="s">
        <v>703</v>
      </c>
      <c r="E1511" s="2900">
        <v>74</v>
      </c>
      <c r="F1511" s="2790">
        <v>933</v>
      </c>
      <c r="G1511" s="3004">
        <v>197</v>
      </c>
      <c r="H1511" s="2792">
        <f t="shared" si="98"/>
        <v>0.21114683815648447</v>
      </c>
    </row>
    <row r="1512" spans="1:8" ht="16.5" customHeight="1">
      <c r="A1512" s="1750"/>
      <c r="B1512" s="1750"/>
      <c r="C1512" s="2086" t="s">
        <v>1141</v>
      </c>
      <c r="D1512" s="2953" t="s">
        <v>1111</v>
      </c>
      <c r="E1512" s="2954">
        <v>0</v>
      </c>
      <c r="F1512" s="1451">
        <v>108909</v>
      </c>
      <c r="G1512" s="2617">
        <v>46927</v>
      </c>
      <c r="H1512" s="1453">
        <f t="shared" si="98"/>
        <v>0.43088266350806637</v>
      </c>
    </row>
    <row r="1513" spans="1:8" ht="16.5" customHeight="1">
      <c r="A1513" s="1556"/>
      <c r="B1513" s="1556"/>
      <c r="C1513" s="2956" t="s">
        <v>1142</v>
      </c>
      <c r="D1513" s="3007" t="s">
        <v>1111</v>
      </c>
      <c r="E1513" s="2994">
        <v>0</v>
      </c>
      <c r="F1513" s="2790">
        <v>19911</v>
      </c>
      <c r="G1513" s="2987">
        <v>8523</v>
      </c>
      <c r="H1513" s="2792">
        <f t="shared" si="98"/>
        <v>0.42805484405604943</v>
      </c>
    </row>
    <row r="1514" spans="1:8">
      <c r="A1514" s="1556"/>
      <c r="B1514" s="1556"/>
      <c r="C1514" s="3008"/>
      <c r="D1514" s="3009"/>
      <c r="E1514" s="3008"/>
      <c r="F1514" s="2790"/>
      <c r="G1514" s="2987"/>
      <c r="H1514" s="2792"/>
    </row>
    <row r="1515" spans="1:8" ht="17.100000000000001" customHeight="1">
      <c r="A1515" s="1556"/>
      <c r="B1515" s="1556"/>
      <c r="C1515" s="4652" t="s">
        <v>744</v>
      </c>
      <c r="D1515" s="4653"/>
      <c r="E1515" s="3010">
        <f>SUM(E1516)</f>
        <v>39710</v>
      </c>
      <c r="F1515" s="3011">
        <f>SUM(F1516)</f>
        <v>39710</v>
      </c>
      <c r="G1515" s="3012">
        <f>SUM(G1516)</f>
        <v>48000</v>
      </c>
      <c r="H1515" s="2797">
        <f t="shared" ref="H1515:H1536" si="99">G1515/F1515</f>
        <v>1.2087635356333417</v>
      </c>
    </row>
    <row r="1516" spans="1:8" ht="17.100000000000001" customHeight="1">
      <c r="A1516" s="1556"/>
      <c r="B1516" s="1556"/>
      <c r="C1516" s="4654" t="s">
        <v>745</v>
      </c>
      <c r="D1516" s="4655"/>
      <c r="E1516" s="2954">
        <f>SUM(E1518)</f>
        <v>39710</v>
      </c>
      <c r="F1516" s="1451">
        <f>SUM(F1518)</f>
        <v>39710</v>
      </c>
      <c r="G1516" s="2983">
        <f>SUM(G1518)</f>
        <v>48000</v>
      </c>
      <c r="H1516" s="2792">
        <f t="shared" si="99"/>
        <v>1.2087635356333417</v>
      </c>
    </row>
    <row r="1517" spans="1:8" ht="17.100000000000001" hidden="1" customHeight="1">
      <c r="A1517" s="1556"/>
      <c r="B1517" s="1556"/>
      <c r="C1517" s="3013" t="s">
        <v>755</v>
      </c>
      <c r="D1517" s="3014" t="s">
        <v>747</v>
      </c>
      <c r="E1517" s="2954">
        <v>0</v>
      </c>
      <c r="F1517" s="2790"/>
      <c r="G1517" s="3004"/>
      <c r="H1517" s="2792" t="e">
        <f t="shared" si="99"/>
        <v>#DIV/0!</v>
      </c>
    </row>
    <row r="1518" spans="1:8" ht="17.100000000000001" customHeight="1" thickBot="1">
      <c r="A1518" s="1556"/>
      <c r="B1518" s="1556"/>
      <c r="C1518" s="3015" t="s">
        <v>746</v>
      </c>
      <c r="D1518" s="3016" t="s">
        <v>801</v>
      </c>
      <c r="E1518" s="1520">
        <v>39710</v>
      </c>
      <c r="F1518" s="2790">
        <v>39710</v>
      </c>
      <c r="G1518" s="3004">
        <v>48000</v>
      </c>
      <c r="H1518" s="2792">
        <f t="shared" si="99"/>
        <v>1.2087635356333417</v>
      </c>
    </row>
    <row r="1519" spans="1:8" ht="17.100000000000001" hidden="1" customHeight="1" thickBot="1">
      <c r="A1519" s="1556"/>
      <c r="B1519" s="1750"/>
      <c r="C1519" s="3017" t="s">
        <v>838</v>
      </c>
      <c r="D1519" s="3018" t="s">
        <v>801</v>
      </c>
      <c r="E1519" s="3019">
        <v>0</v>
      </c>
      <c r="F1519" s="2805"/>
      <c r="G1519" s="3020"/>
      <c r="H1519" s="2807" t="e">
        <f t="shared" si="99"/>
        <v>#DIV/0!</v>
      </c>
    </row>
    <row r="1520" spans="1:8" ht="17.100000000000001" hidden="1" customHeight="1" thickBot="1">
      <c r="A1520" s="1556"/>
      <c r="B1520" s="1750"/>
      <c r="C1520" s="3021" t="s">
        <v>853</v>
      </c>
      <c r="D1520" s="3022" t="s">
        <v>801</v>
      </c>
      <c r="E1520" s="3019">
        <v>0</v>
      </c>
      <c r="F1520" s="2805"/>
      <c r="G1520" s="3020"/>
      <c r="H1520" s="2807" t="e">
        <f t="shared" si="99"/>
        <v>#DIV/0!</v>
      </c>
    </row>
    <row r="1521" spans="1:8" ht="17.100000000000001" hidden="1" customHeight="1" thickBot="1">
      <c r="A1521" s="1556"/>
      <c r="B1521" s="1750"/>
      <c r="C1521" s="1826"/>
      <c r="D1521" s="1827"/>
      <c r="E1521" s="1828"/>
      <c r="F1521" s="2805"/>
      <c r="G1521" s="3020"/>
      <c r="H1521" s="2807" t="e">
        <f t="shared" si="99"/>
        <v>#DIV/0!</v>
      </c>
    </row>
    <row r="1522" spans="1:8" ht="17.100000000000001" hidden="1" customHeight="1" thickBot="1">
      <c r="A1522" s="1556"/>
      <c r="B1522" s="1750"/>
      <c r="C1522" s="4659" t="s">
        <v>758</v>
      </c>
      <c r="D1522" s="4660"/>
      <c r="E1522" s="3023">
        <v>0</v>
      </c>
      <c r="F1522" s="2805"/>
      <c r="G1522" s="3024"/>
      <c r="H1522" s="2807" t="e">
        <f t="shared" si="99"/>
        <v>#DIV/0!</v>
      </c>
    </row>
    <row r="1523" spans="1:8" ht="17.100000000000001" hidden="1" customHeight="1" thickBot="1">
      <c r="A1523" s="1556"/>
      <c r="B1523" s="1750"/>
      <c r="C1523" s="3025" t="s">
        <v>838</v>
      </c>
      <c r="D1523" s="3026" t="s">
        <v>801</v>
      </c>
      <c r="E1523" s="3027">
        <v>0</v>
      </c>
      <c r="F1523" s="2805"/>
      <c r="G1523" s="3024"/>
      <c r="H1523" s="2807" t="e">
        <f t="shared" si="99"/>
        <v>#DIV/0!</v>
      </c>
    </row>
    <row r="1524" spans="1:8" ht="17.100000000000001" hidden="1" customHeight="1" thickBot="1">
      <c r="A1524" s="1556"/>
      <c r="B1524" s="1750"/>
      <c r="C1524" s="3028" t="s">
        <v>853</v>
      </c>
      <c r="D1524" s="1827" t="s">
        <v>801</v>
      </c>
      <c r="E1524" s="3027">
        <v>0</v>
      </c>
      <c r="F1524" s="2805"/>
      <c r="G1524" s="3024"/>
      <c r="H1524" s="3029" t="e">
        <f t="shared" si="99"/>
        <v>#DIV/0!</v>
      </c>
    </row>
    <row r="1525" spans="1:8" ht="17.100000000000001" customHeight="1" thickBot="1">
      <c r="A1525" s="1556"/>
      <c r="B1525" s="1500" t="s">
        <v>1143</v>
      </c>
      <c r="C1525" s="1501"/>
      <c r="D1525" s="1502" t="s">
        <v>554</v>
      </c>
      <c r="E1525" s="1503">
        <f>SUM(E1526)</f>
        <v>11760834</v>
      </c>
      <c r="F1525" s="1505">
        <f>SUM(F1526,F1607)</f>
        <v>12122656</v>
      </c>
      <c r="G1525" s="1505">
        <f>SUM(G1526,G1607)</f>
        <v>11041358</v>
      </c>
      <c r="H1525" s="1506">
        <f t="shared" si="99"/>
        <v>0.91080354008230535</v>
      </c>
    </row>
    <row r="1526" spans="1:8" ht="17.100000000000001" customHeight="1">
      <c r="A1526" s="1556"/>
      <c r="B1526" s="1429"/>
      <c r="C1526" s="4358" t="s">
        <v>688</v>
      </c>
      <c r="D1526" s="4358"/>
      <c r="E1526" s="2946">
        <f>SUM(E1527,E1557,E1594)</f>
        <v>11760834</v>
      </c>
      <c r="F1526" s="1418">
        <f>SUM(F1527,F1557,F1594)</f>
        <v>12122656</v>
      </c>
      <c r="G1526" s="2947">
        <f>SUM(G1527,G1557,G1594)</f>
        <v>11014478</v>
      </c>
      <c r="H1526" s="1509">
        <f t="shared" si="99"/>
        <v>0.90858620421135439</v>
      </c>
    </row>
    <row r="1527" spans="1:8" ht="17.100000000000001" customHeight="1">
      <c r="A1527" s="1556"/>
      <c r="B1527" s="1429"/>
      <c r="C1527" s="4661" t="s">
        <v>689</v>
      </c>
      <c r="D1527" s="4661"/>
      <c r="E1527" s="2994">
        <f>SUM(E1528,E1538)</f>
        <v>11744638</v>
      </c>
      <c r="F1527" s="2790">
        <f>SUM(F1528,F1538)</f>
        <v>12060863</v>
      </c>
      <c r="G1527" s="2912">
        <f>SUM(G1528,G1538)</f>
        <v>10998282</v>
      </c>
      <c r="H1527" s="2792">
        <f t="shared" si="99"/>
        <v>0.91189842716893477</v>
      </c>
    </row>
    <row r="1528" spans="1:8" ht="17.100000000000001" customHeight="1">
      <c r="A1528" s="1556"/>
      <c r="B1528" s="1429"/>
      <c r="C1528" s="4662" t="s">
        <v>690</v>
      </c>
      <c r="D1528" s="4662"/>
      <c r="E1528" s="3030">
        <f>SUM(E1529:E1536)</f>
        <v>8757294</v>
      </c>
      <c r="F1528" s="2865">
        <f>SUM(F1529:F1536)</f>
        <v>8779996</v>
      </c>
      <c r="G1528" s="3031">
        <f>SUM(G1529:G1536)</f>
        <v>7346668</v>
      </c>
      <c r="H1528" s="2867">
        <f t="shared" si="99"/>
        <v>0.8367507228932678</v>
      </c>
    </row>
    <row r="1529" spans="1:8" ht="17.100000000000001" customHeight="1">
      <c r="A1529" s="1556"/>
      <c r="B1529" s="1429"/>
      <c r="C1529" s="3032" t="s">
        <v>692</v>
      </c>
      <c r="D1529" s="3007" t="s">
        <v>693</v>
      </c>
      <c r="E1529" s="2994">
        <v>1340105</v>
      </c>
      <c r="F1529" s="2790">
        <v>1340105</v>
      </c>
      <c r="G1529" s="2987">
        <v>0</v>
      </c>
      <c r="H1529" s="2792">
        <f t="shared" si="99"/>
        <v>0</v>
      </c>
    </row>
    <row r="1530" spans="1:8" ht="17.100000000000001" customHeight="1">
      <c r="A1530" s="1556"/>
      <c r="B1530" s="1429"/>
      <c r="C1530" s="3032" t="s">
        <v>694</v>
      </c>
      <c r="D1530" s="3007" t="s">
        <v>695</v>
      </c>
      <c r="E1530" s="2994">
        <v>96286</v>
      </c>
      <c r="F1530" s="2790">
        <v>98482</v>
      </c>
      <c r="G1530" s="2987">
        <v>0</v>
      </c>
      <c r="H1530" s="2792">
        <f t="shared" si="99"/>
        <v>0</v>
      </c>
    </row>
    <row r="1531" spans="1:8" ht="17.100000000000001" customHeight="1">
      <c r="A1531" s="1556"/>
      <c r="B1531" s="1429"/>
      <c r="C1531" s="3033" t="s">
        <v>696</v>
      </c>
      <c r="D1531" s="3034" t="s">
        <v>697</v>
      </c>
      <c r="E1531" s="2994">
        <v>1259727</v>
      </c>
      <c r="F1531" s="2790">
        <v>1260329</v>
      </c>
      <c r="G1531" s="3004">
        <v>1009915</v>
      </c>
      <c r="H1531" s="2792">
        <f t="shared" si="99"/>
        <v>0.80131061016607563</v>
      </c>
    </row>
    <row r="1532" spans="1:8" ht="16.5" customHeight="1">
      <c r="A1532" s="1556"/>
      <c r="B1532" s="1429"/>
      <c r="C1532" s="2909" t="s">
        <v>698</v>
      </c>
      <c r="D1532" s="2910" t="s">
        <v>699</v>
      </c>
      <c r="E1532" s="2900">
        <v>143923</v>
      </c>
      <c r="F1532" s="2790">
        <v>144009</v>
      </c>
      <c r="G1532" s="3004">
        <v>143937</v>
      </c>
      <c r="H1532" s="2792">
        <f t="shared" si="99"/>
        <v>0.99950003124804698</v>
      </c>
    </row>
    <row r="1533" spans="1:8" ht="17.100000000000001" customHeight="1">
      <c r="A1533" s="1556"/>
      <c r="B1533" s="1429"/>
      <c r="C1533" s="2909" t="s">
        <v>700</v>
      </c>
      <c r="D1533" s="2910" t="s">
        <v>701</v>
      </c>
      <c r="E1533" s="2900">
        <v>17000</v>
      </c>
      <c r="F1533" s="2790">
        <v>17000</v>
      </c>
      <c r="G1533" s="3004">
        <v>20000</v>
      </c>
      <c r="H1533" s="2792">
        <f t="shared" si="99"/>
        <v>1.1764705882352942</v>
      </c>
    </row>
    <row r="1534" spans="1:8" ht="17.100000000000001" customHeight="1">
      <c r="A1534" s="1556"/>
      <c r="B1534" s="1429"/>
      <c r="C1534" s="2909" t="s">
        <v>702</v>
      </c>
      <c r="D1534" s="2966" t="s">
        <v>703</v>
      </c>
      <c r="E1534" s="2900">
        <v>23367</v>
      </c>
      <c r="F1534" s="2790">
        <v>23367</v>
      </c>
      <c r="G1534" s="2987">
        <v>21000</v>
      </c>
      <c r="H1534" s="2792">
        <f t="shared" si="99"/>
        <v>0.89870329952497108</v>
      </c>
    </row>
    <row r="1535" spans="1:8" ht="17.100000000000001" customHeight="1">
      <c r="A1535" s="1556"/>
      <c r="B1535" s="1429"/>
      <c r="C1535" s="3032" t="s">
        <v>1110</v>
      </c>
      <c r="D1535" s="3007" t="s">
        <v>1111</v>
      </c>
      <c r="E1535" s="2994">
        <v>5426176</v>
      </c>
      <c r="F1535" s="2790">
        <v>5460430</v>
      </c>
      <c r="G1535" s="2987">
        <v>5691561</v>
      </c>
      <c r="H1535" s="2792">
        <f t="shared" si="99"/>
        <v>1.0423283514301986</v>
      </c>
    </row>
    <row r="1536" spans="1:8" ht="17.100000000000001" customHeight="1">
      <c r="A1536" s="1556"/>
      <c r="B1536" s="1429"/>
      <c r="C1536" s="3032" t="s">
        <v>1112</v>
      </c>
      <c r="D1536" s="3007" t="s">
        <v>1113</v>
      </c>
      <c r="E1536" s="2994">
        <v>450710</v>
      </c>
      <c r="F1536" s="2790">
        <v>436274</v>
      </c>
      <c r="G1536" s="2987">
        <v>460255</v>
      </c>
      <c r="H1536" s="2792">
        <f t="shared" si="99"/>
        <v>1.0549677496252354</v>
      </c>
    </row>
    <row r="1537" spans="1:8" ht="17.100000000000001" customHeight="1">
      <c r="A1537" s="1556"/>
      <c r="B1537" s="1429"/>
      <c r="C1537" s="3035"/>
      <c r="D1537" s="3035"/>
      <c r="E1537" s="3036"/>
      <c r="F1537" s="2790"/>
      <c r="G1537" s="3004"/>
      <c r="H1537" s="2792"/>
    </row>
    <row r="1538" spans="1:8" ht="17.100000000000001" customHeight="1">
      <c r="A1538" s="1556"/>
      <c r="B1538" s="1429"/>
      <c r="C1538" s="4663" t="s">
        <v>704</v>
      </c>
      <c r="D1538" s="4663"/>
      <c r="E1538" s="3037">
        <f>SUM(E1539:E1555)</f>
        <v>2987344</v>
      </c>
      <c r="F1538" s="3038">
        <f>SUM(F1539:F1555)</f>
        <v>3280867</v>
      </c>
      <c r="G1538" s="3039">
        <f>SUM(G1539:G1555)</f>
        <v>3651614</v>
      </c>
      <c r="H1538" s="2867">
        <f t="shared" ref="H1538:H1546" si="100">G1538/F1538</f>
        <v>1.113002752016464</v>
      </c>
    </row>
    <row r="1539" spans="1:8" ht="17.100000000000001" customHeight="1">
      <c r="A1539" s="1556"/>
      <c r="B1539" s="1429"/>
      <c r="C1539" s="2952" t="s">
        <v>705</v>
      </c>
      <c r="D1539" s="2953" t="s">
        <v>706</v>
      </c>
      <c r="E1539" s="2954">
        <v>51780</v>
      </c>
      <c r="F1539" s="2790">
        <v>47450</v>
      </c>
      <c r="G1539" s="3004">
        <v>0</v>
      </c>
      <c r="H1539" s="2792">
        <f t="shared" si="100"/>
        <v>0</v>
      </c>
    </row>
    <row r="1540" spans="1:8" ht="17.100000000000001" customHeight="1">
      <c r="A1540" s="1556"/>
      <c r="B1540" s="1429"/>
      <c r="C1540" s="3032" t="s">
        <v>707</v>
      </c>
      <c r="D1540" s="3007" t="s">
        <v>708</v>
      </c>
      <c r="E1540" s="2954">
        <v>512980</v>
      </c>
      <c r="F1540" s="2790">
        <v>521880</v>
      </c>
      <c r="G1540" s="3004">
        <v>653920</v>
      </c>
      <c r="H1540" s="2792">
        <f t="shared" si="100"/>
        <v>1.2530083544109758</v>
      </c>
    </row>
    <row r="1541" spans="1:8" ht="17.100000000000001" customHeight="1">
      <c r="A1541" s="1556"/>
      <c r="B1541" s="1429"/>
      <c r="C1541" s="3032" t="s">
        <v>709</v>
      </c>
      <c r="D1541" s="3007" t="s">
        <v>710</v>
      </c>
      <c r="E1541" s="2954">
        <v>1000</v>
      </c>
      <c r="F1541" s="2790">
        <v>1000</v>
      </c>
      <c r="G1541" s="3004">
        <v>0</v>
      </c>
      <c r="H1541" s="2792">
        <f t="shared" si="100"/>
        <v>0</v>
      </c>
    </row>
    <row r="1542" spans="1:8" ht="17.100000000000001" customHeight="1">
      <c r="A1542" s="1556"/>
      <c r="B1542" s="1429"/>
      <c r="C1542" s="3032" t="s">
        <v>942</v>
      </c>
      <c r="D1542" s="3007" t="s">
        <v>943</v>
      </c>
      <c r="E1542" s="2954">
        <v>171000</v>
      </c>
      <c r="F1542" s="2790">
        <v>171000</v>
      </c>
      <c r="G1542" s="3004">
        <v>207000</v>
      </c>
      <c r="H1542" s="2792">
        <f t="shared" si="100"/>
        <v>1.2105263157894737</v>
      </c>
    </row>
    <row r="1543" spans="1:8" ht="17.100000000000001" customHeight="1" thickBot="1">
      <c r="A1543" s="1797"/>
      <c r="B1543" s="1591"/>
      <c r="C1543" s="3040" t="s">
        <v>711</v>
      </c>
      <c r="D1543" s="3041" t="s">
        <v>712</v>
      </c>
      <c r="E1543" s="1520">
        <v>590837</v>
      </c>
      <c r="F1543" s="1538">
        <v>902447</v>
      </c>
      <c r="G1543" s="2747">
        <v>658347</v>
      </c>
      <c r="H1543" s="1540">
        <f t="shared" si="100"/>
        <v>0.72951320132927477</v>
      </c>
    </row>
    <row r="1544" spans="1:8" ht="17.100000000000001" customHeight="1">
      <c r="A1544" s="1700"/>
      <c r="B1544" s="1524"/>
      <c r="C1544" s="3042" t="s">
        <v>713</v>
      </c>
      <c r="D1544" s="2974" t="s">
        <v>714</v>
      </c>
      <c r="E1544" s="2975">
        <v>273500</v>
      </c>
      <c r="F1544" s="1528">
        <v>273500</v>
      </c>
      <c r="G1544" s="1587">
        <v>623460</v>
      </c>
      <c r="H1544" s="1530">
        <f t="shared" si="100"/>
        <v>2.2795612431444243</v>
      </c>
    </row>
    <row r="1545" spans="1:8" ht="17.100000000000001" customHeight="1">
      <c r="A1545" s="1556"/>
      <c r="B1545" s="1429"/>
      <c r="C1545" s="3032" t="s">
        <v>715</v>
      </c>
      <c r="D1545" s="3007" t="s">
        <v>716</v>
      </c>
      <c r="E1545" s="2954">
        <v>11210</v>
      </c>
      <c r="F1545" s="2790">
        <v>9310</v>
      </c>
      <c r="G1545" s="3004">
        <v>7200</v>
      </c>
      <c r="H1545" s="2792">
        <f t="shared" si="100"/>
        <v>0.77336197636949522</v>
      </c>
    </row>
    <row r="1546" spans="1:8" ht="18.75" customHeight="1">
      <c r="A1546" s="1750"/>
      <c r="B1546" s="1429"/>
      <c r="C1546" s="2992" t="s">
        <v>717</v>
      </c>
      <c r="D1546" s="2993" t="s">
        <v>718</v>
      </c>
      <c r="E1546" s="2954">
        <v>498034</v>
      </c>
      <c r="F1546" s="2790">
        <v>472399</v>
      </c>
      <c r="G1546" s="3004">
        <v>733814</v>
      </c>
      <c r="H1546" s="2792">
        <f t="shared" si="100"/>
        <v>1.5533775473699141</v>
      </c>
    </row>
    <row r="1547" spans="1:8" ht="30.75" hidden="1" customHeight="1">
      <c r="A1547" s="1556"/>
      <c r="B1547" s="1429"/>
      <c r="C1547" s="2952" t="s">
        <v>1122</v>
      </c>
      <c r="D1547" s="2953" t="s">
        <v>1123</v>
      </c>
      <c r="E1547" s="2954">
        <v>0</v>
      </c>
      <c r="F1547" s="1451"/>
      <c r="H1547" s="1453" t="e">
        <f t="shared" ref="H1547:H1555" si="101">G1548/F1547</f>
        <v>#DIV/0!</v>
      </c>
    </row>
    <row r="1548" spans="1:8" ht="16.5" customHeight="1">
      <c r="A1548" s="1750"/>
      <c r="B1548" s="1429"/>
      <c r="C1548" s="3032" t="s">
        <v>719</v>
      </c>
      <c r="D1548" s="3007" t="s">
        <v>720</v>
      </c>
      <c r="E1548" s="2954">
        <v>101381</v>
      </c>
      <c r="F1548" s="2790">
        <v>96981</v>
      </c>
      <c r="G1548" s="2617">
        <v>99072</v>
      </c>
      <c r="H1548" s="2792">
        <f t="shared" si="101"/>
        <v>2.9904311153731142</v>
      </c>
    </row>
    <row r="1549" spans="1:8" ht="30" customHeight="1">
      <c r="A1549" s="1556"/>
      <c r="B1549" s="1429"/>
      <c r="C1549" s="3032" t="s">
        <v>723</v>
      </c>
      <c r="D1549" s="3007" t="s">
        <v>724</v>
      </c>
      <c r="E1549" s="2954">
        <v>370777</v>
      </c>
      <c r="F1549" s="2790">
        <v>370777</v>
      </c>
      <c r="G1549" s="3004">
        <v>290015</v>
      </c>
      <c r="H1549" s="2792">
        <f t="shared" si="101"/>
        <v>5.2592258958889034E-2</v>
      </c>
    </row>
    <row r="1550" spans="1:8" ht="17.100000000000001" customHeight="1">
      <c r="A1550" s="1556"/>
      <c r="B1550" s="1429"/>
      <c r="C1550" s="3033" t="s">
        <v>725</v>
      </c>
      <c r="D1550" s="3034" t="s">
        <v>726</v>
      </c>
      <c r="E1550" s="2954">
        <v>20218</v>
      </c>
      <c r="F1550" s="2790">
        <v>24218</v>
      </c>
      <c r="G1550" s="3004">
        <v>19500</v>
      </c>
      <c r="H1550" s="2792">
        <f t="shared" si="101"/>
        <v>1.3502353621273433</v>
      </c>
    </row>
    <row r="1551" spans="1:8" ht="17.100000000000001" customHeight="1">
      <c r="A1551" s="1556"/>
      <c r="B1551" s="1429"/>
      <c r="C1551" s="2909" t="s">
        <v>727</v>
      </c>
      <c r="D1551" s="2910" t="s">
        <v>728</v>
      </c>
      <c r="E1551" s="2900">
        <v>33800</v>
      </c>
      <c r="F1551" s="2790">
        <v>29300</v>
      </c>
      <c r="G1551" s="3004">
        <v>32700</v>
      </c>
      <c r="H1551" s="2792">
        <f t="shared" si="101"/>
        <v>9.661638225255972</v>
      </c>
    </row>
    <row r="1552" spans="1:8" ht="17.100000000000001" customHeight="1">
      <c r="A1552" s="1556"/>
      <c r="B1552" s="1429"/>
      <c r="C1552" s="2697" t="s">
        <v>729</v>
      </c>
      <c r="D1552" s="2953" t="s">
        <v>730</v>
      </c>
      <c r="E1552" s="2954">
        <v>314977</v>
      </c>
      <c r="F1552" s="2790">
        <v>324755</v>
      </c>
      <c r="G1552" s="3004">
        <v>283086</v>
      </c>
      <c r="H1552" s="2792">
        <f t="shared" si="101"/>
        <v>3.2332065711074505E-2</v>
      </c>
    </row>
    <row r="1553" spans="1:8" ht="17.100000000000001" customHeight="1">
      <c r="A1553" s="1750"/>
      <c r="B1553" s="1429"/>
      <c r="C1553" s="2992" t="s">
        <v>735</v>
      </c>
      <c r="D1553" s="2993" t="s">
        <v>736</v>
      </c>
      <c r="E1553" s="2954">
        <v>1800</v>
      </c>
      <c r="F1553" s="2790">
        <v>1800</v>
      </c>
      <c r="G1553" s="3004">
        <v>10500</v>
      </c>
      <c r="H1553" s="2792">
        <f t="shared" si="101"/>
        <v>1.1111111111111112</v>
      </c>
    </row>
    <row r="1554" spans="1:8" ht="17.100000000000001" customHeight="1">
      <c r="A1554" s="1556"/>
      <c r="B1554" s="1429"/>
      <c r="C1554" s="2952" t="s">
        <v>737</v>
      </c>
      <c r="D1554" s="2953" t="s">
        <v>738</v>
      </c>
      <c r="E1554" s="2954">
        <v>5000</v>
      </c>
      <c r="F1554" s="1451">
        <v>5000</v>
      </c>
      <c r="G1554" s="3004">
        <v>2000</v>
      </c>
      <c r="H1554" s="1453">
        <f t="shared" si="101"/>
        <v>6.2</v>
      </c>
    </row>
    <row r="1555" spans="1:8" ht="18" customHeight="1">
      <c r="A1555" s="1556"/>
      <c r="B1555" s="1429"/>
      <c r="C1555" s="3032" t="s">
        <v>739</v>
      </c>
      <c r="D1555" s="3007" t="s">
        <v>740</v>
      </c>
      <c r="E1555" s="2954">
        <v>29050</v>
      </c>
      <c r="F1555" s="2790">
        <v>29050</v>
      </c>
      <c r="G1555" s="2617">
        <v>31000</v>
      </c>
      <c r="H1555" s="1453">
        <f t="shared" si="101"/>
        <v>0</v>
      </c>
    </row>
    <row r="1556" spans="1:8" ht="17.100000000000001" customHeight="1">
      <c r="A1556" s="1750"/>
      <c r="B1556" s="1429"/>
      <c r="C1556" s="2671"/>
      <c r="D1556" s="3043"/>
      <c r="E1556" s="2671"/>
      <c r="F1556" s="2790"/>
      <c r="G1556" s="3004"/>
      <c r="H1556" s="2792"/>
    </row>
    <row r="1557" spans="1:8" ht="17.100000000000001" customHeight="1">
      <c r="A1557" s="1556"/>
      <c r="B1557" s="1429"/>
      <c r="C1557" s="4390" t="s">
        <v>1026</v>
      </c>
      <c r="D1557" s="4390"/>
      <c r="E1557" s="1457">
        <f>SUM(E1558)</f>
        <v>16196</v>
      </c>
      <c r="F1557" s="2095">
        <f>SUM(F1558)</f>
        <v>16196</v>
      </c>
      <c r="G1557" s="2272">
        <f>SUM(G1558)</f>
        <v>16196</v>
      </c>
      <c r="H1557" s="2792">
        <f t="shared" ref="H1557:H1592" si="102">G1557/F1557</f>
        <v>1</v>
      </c>
    </row>
    <row r="1558" spans="1:8" ht="17.100000000000001" customHeight="1">
      <c r="A1558" s="1556"/>
      <c r="B1558" s="1429"/>
      <c r="C1558" s="3044" t="s">
        <v>742</v>
      </c>
      <c r="D1558" s="2963" t="s">
        <v>743</v>
      </c>
      <c r="E1558" s="2900">
        <v>16196</v>
      </c>
      <c r="F1558" s="2790">
        <v>16196</v>
      </c>
      <c r="G1558" s="3004">
        <v>16196</v>
      </c>
      <c r="H1558" s="2792">
        <f t="shared" si="102"/>
        <v>1</v>
      </c>
    </row>
    <row r="1559" spans="1:8" ht="12.75" hidden="1" customHeight="1">
      <c r="A1559" s="1556"/>
      <c r="B1559" s="1429"/>
      <c r="C1559" s="3045"/>
      <c r="D1559" s="3046"/>
      <c r="E1559" s="3047"/>
      <c r="F1559" s="2790"/>
      <c r="G1559" s="3004"/>
      <c r="H1559" s="2792" t="e">
        <f t="shared" si="102"/>
        <v>#DIV/0!</v>
      </c>
    </row>
    <row r="1560" spans="1:8" ht="12.75" hidden="1" customHeight="1">
      <c r="A1560" s="1556"/>
      <c r="B1560" s="1429"/>
      <c r="C1560" s="4656" t="s">
        <v>761</v>
      </c>
      <c r="D1560" s="4656"/>
      <c r="E1560" s="2110">
        <v>0</v>
      </c>
      <c r="F1560" s="2790"/>
      <c r="G1560" s="3004"/>
      <c r="H1560" s="2792" t="e">
        <f t="shared" si="102"/>
        <v>#DIV/0!</v>
      </c>
    </row>
    <row r="1561" spans="1:8" ht="12.75" hidden="1" customHeight="1">
      <c r="A1561" s="1556"/>
      <c r="B1561" s="1429"/>
      <c r="C1561" s="3032" t="s">
        <v>692</v>
      </c>
      <c r="D1561" s="3007" t="s">
        <v>693</v>
      </c>
      <c r="E1561" s="3048">
        <v>0</v>
      </c>
      <c r="F1561" s="2790"/>
      <c r="G1561" s="3004"/>
      <c r="H1561" s="2792" t="e">
        <f t="shared" si="102"/>
        <v>#DIV/0!</v>
      </c>
    </row>
    <row r="1562" spans="1:8" ht="12.75" hidden="1" customHeight="1">
      <c r="A1562" s="1556"/>
      <c r="B1562" s="1429"/>
      <c r="C1562" s="3032" t="s">
        <v>717</v>
      </c>
      <c r="D1562" s="3007" t="s">
        <v>718</v>
      </c>
      <c r="E1562" s="3048">
        <v>0</v>
      </c>
      <c r="F1562" s="2790"/>
      <c r="G1562" s="3004"/>
      <c r="H1562" s="2792" t="e">
        <f t="shared" si="102"/>
        <v>#DIV/0!</v>
      </c>
    </row>
    <row r="1563" spans="1:8" ht="12.75" hidden="1" customHeight="1">
      <c r="A1563" s="1556"/>
      <c r="B1563" s="1429"/>
      <c r="C1563" s="3032" t="s">
        <v>833</v>
      </c>
      <c r="D1563" s="3007" t="s">
        <v>718</v>
      </c>
      <c r="E1563" s="3048">
        <v>0</v>
      </c>
      <c r="F1563" s="2790"/>
      <c r="G1563" s="3004"/>
      <c r="H1563" s="2792" t="e">
        <f t="shared" si="102"/>
        <v>#DIV/0!</v>
      </c>
    </row>
    <row r="1564" spans="1:8" ht="12.75" hidden="1" customHeight="1">
      <c r="A1564" s="1556"/>
      <c r="B1564" s="1429"/>
      <c r="C1564" s="3033" t="s">
        <v>784</v>
      </c>
      <c r="D1564" s="3034" t="s">
        <v>718</v>
      </c>
      <c r="E1564" s="3048">
        <v>0</v>
      </c>
      <c r="F1564" s="2790"/>
      <c r="G1564" s="3004"/>
      <c r="H1564" s="2792" t="e">
        <f t="shared" si="102"/>
        <v>#DIV/0!</v>
      </c>
    </row>
    <row r="1565" spans="1:8" ht="12.75" hidden="1" customHeight="1">
      <c r="A1565" s="1556"/>
      <c r="B1565" s="1429"/>
      <c r="C1565" s="2995"/>
      <c r="D1565" s="3049"/>
      <c r="E1565" s="3050"/>
      <c r="F1565" s="2790"/>
      <c r="G1565" s="3004"/>
      <c r="H1565" s="2792" t="e">
        <f t="shared" si="102"/>
        <v>#DIV/0!</v>
      </c>
    </row>
    <row r="1566" spans="1:8" ht="12.75" hidden="1" customHeight="1">
      <c r="A1566" s="1556"/>
      <c r="B1566" s="1429"/>
      <c r="C1566" s="4657" t="s">
        <v>744</v>
      </c>
      <c r="D1566" s="4657"/>
      <c r="E1566" s="3051">
        <v>0</v>
      </c>
      <c r="F1566" s="2790"/>
      <c r="G1566" s="3004"/>
      <c r="H1566" s="2792" t="e">
        <f t="shared" si="102"/>
        <v>#DIV/0!</v>
      </c>
    </row>
    <row r="1567" spans="1:8" ht="15" hidden="1" customHeight="1">
      <c r="A1567" s="1556"/>
      <c r="B1567" s="1429"/>
      <c r="C1567" s="4466" t="s">
        <v>745</v>
      </c>
      <c r="D1567" s="4467"/>
      <c r="E1567" s="2954">
        <v>0</v>
      </c>
      <c r="F1567" s="2790"/>
      <c r="G1567" s="3004"/>
      <c r="H1567" s="2792" t="e">
        <f t="shared" si="102"/>
        <v>#DIV/0!</v>
      </c>
    </row>
    <row r="1568" spans="1:8" ht="12.75" hidden="1" customHeight="1">
      <c r="A1568" s="1556"/>
      <c r="B1568" s="1429"/>
      <c r="C1568" s="3052" t="s">
        <v>855</v>
      </c>
      <c r="D1568" s="3053" t="s">
        <v>747</v>
      </c>
      <c r="E1568" s="2954">
        <v>0</v>
      </c>
      <c r="F1568" s="2790"/>
      <c r="G1568" s="3004"/>
      <c r="H1568" s="2792" t="e">
        <f t="shared" si="102"/>
        <v>#DIV/0!</v>
      </c>
    </row>
    <row r="1569" spans="1:8" ht="12.75" hidden="1" customHeight="1">
      <c r="A1569" s="1556"/>
      <c r="B1569" s="1429"/>
      <c r="C1569" s="3054" t="s">
        <v>856</v>
      </c>
      <c r="D1569" s="3055" t="s">
        <v>747</v>
      </c>
      <c r="E1569" s="2954">
        <v>0</v>
      </c>
      <c r="F1569" s="2790"/>
      <c r="G1569" s="2987"/>
      <c r="H1569" s="2792" t="e">
        <f t="shared" si="102"/>
        <v>#DIV/0!</v>
      </c>
    </row>
    <row r="1570" spans="1:8" ht="12.75" hidden="1" customHeight="1">
      <c r="A1570" s="1556"/>
      <c r="B1570" s="1429"/>
      <c r="C1570" s="1478" t="s">
        <v>746</v>
      </c>
      <c r="D1570" s="1479" t="s">
        <v>801</v>
      </c>
      <c r="E1570" s="2954">
        <v>0</v>
      </c>
      <c r="F1570" s="2790"/>
      <c r="G1570" s="2987"/>
      <c r="H1570" s="2792" t="e">
        <f t="shared" si="102"/>
        <v>#DIV/0!</v>
      </c>
    </row>
    <row r="1571" spans="1:8" ht="12.75" hidden="1" customHeight="1">
      <c r="A1571" s="1556"/>
      <c r="B1571" s="1429"/>
      <c r="C1571" s="2909" t="s">
        <v>838</v>
      </c>
      <c r="D1571" s="2910" t="s">
        <v>801</v>
      </c>
      <c r="E1571" s="2954">
        <v>0</v>
      </c>
      <c r="F1571" s="2790"/>
      <c r="G1571" s="2987"/>
      <c r="H1571" s="2792" t="e">
        <f t="shared" si="102"/>
        <v>#DIV/0!</v>
      </c>
    </row>
    <row r="1572" spans="1:8" ht="12.75" hidden="1" customHeight="1">
      <c r="A1572" s="1556"/>
      <c r="B1572" s="1429"/>
      <c r="C1572" s="2909" t="s">
        <v>853</v>
      </c>
      <c r="D1572" s="2910" t="s">
        <v>801</v>
      </c>
      <c r="E1572" s="2954">
        <v>0</v>
      </c>
      <c r="F1572" s="2790"/>
      <c r="G1572" s="2987"/>
      <c r="H1572" s="2792" t="e">
        <f t="shared" si="102"/>
        <v>#DIV/0!</v>
      </c>
    </row>
    <row r="1573" spans="1:8" ht="12.75" hidden="1" customHeight="1">
      <c r="A1573" s="1556"/>
      <c r="B1573" s="1429"/>
      <c r="C1573" s="1478"/>
      <c r="D1573" s="1479"/>
      <c r="E1573" s="1457"/>
      <c r="F1573" s="2790"/>
      <c r="G1573" s="2987"/>
      <c r="H1573" s="2792" t="e">
        <f t="shared" si="102"/>
        <v>#DIV/0!</v>
      </c>
    </row>
    <row r="1574" spans="1:8" ht="15" hidden="1" customHeight="1">
      <c r="A1574" s="1556"/>
      <c r="B1574" s="1429"/>
      <c r="C1574" s="4645" t="s">
        <v>758</v>
      </c>
      <c r="D1574" s="4658"/>
      <c r="E1574" s="2907">
        <v>0</v>
      </c>
      <c r="F1574" s="2790"/>
      <c r="G1574" s="3056"/>
      <c r="H1574" s="2792" t="e">
        <f t="shared" si="102"/>
        <v>#DIV/0!</v>
      </c>
    </row>
    <row r="1575" spans="1:8" ht="12.75" hidden="1" customHeight="1">
      <c r="A1575" s="1556"/>
      <c r="B1575" s="1429"/>
      <c r="C1575" s="3057" t="s">
        <v>855</v>
      </c>
      <c r="D1575" s="3058" t="s">
        <v>747</v>
      </c>
      <c r="E1575" s="2900">
        <v>0</v>
      </c>
      <c r="F1575" s="2790"/>
      <c r="G1575" s="3056"/>
      <c r="H1575" s="2792" t="e">
        <f t="shared" si="102"/>
        <v>#DIV/0!</v>
      </c>
    </row>
    <row r="1576" spans="1:8" ht="12.75" hidden="1" customHeight="1">
      <c r="A1576" s="1556"/>
      <c r="B1576" s="1429"/>
      <c r="C1576" s="2956" t="s">
        <v>856</v>
      </c>
      <c r="D1576" s="3055" t="s">
        <v>747</v>
      </c>
      <c r="E1576" s="2900">
        <v>0</v>
      </c>
      <c r="F1576" s="2790"/>
      <c r="G1576" s="3056"/>
      <c r="H1576" s="2792" t="e">
        <f t="shared" si="102"/>
        <v>#DIV/0!</v>
      </c>
    </row>
    <row r="1577" spans="1:8" ht="12.75" hidden="1" customHeight="1">
      <c r="A1577" s="1556"/>
      <c r="B1577" s="1429"/>
      <c r="C1577" s="2952" t="s">
        <v>838</v>
      </c>
      <c r="D1577" s="2953" t="s">
        <v>801</v>
      </c>
      <c r="E1577" s="2900">
        <v>0</v>
      </c>
      <c r="F1577" s="2790"/>
      <c r="G1577" s="2987"/>
      <c r="H1577" s="2792" t="e">
        <f t="shared" si="102"/>
        <v>#DIV/0!</v>
      </c>
    </row>
    <row r="1578" spans="1:8" ht="13.5" hidden="1" customHeight="1">
      <c r="A1578" s="1556"/>
      <c r="B1578" s="1429"/>
      <c r="C1578" s="2197" t="s">
        <v>853</v>
      </c>
      <c r="D1578" s="1479" t="s">
        <v>801</v>
      </c>
      <c r="E1578" s="2900">
        <v>0</v>
      </c>
      <c r="F1578" s="2790"/>
      <c r="G1578" s="2987"/>
      <c r="H1578" s="2792" t="e">
        <f t="shared" si="102"/>
        <v>#DIV/0!</v>
      </c>
    </row>
    <row r="1579" spans="1:8" ht="13.5" hidden="1" customHeight="1">
      <c r="A1579" s="1556"/>
      <c r="B1579" s="1500" t="s">
        <v>1144</v>
      </c>
      <c r="C1579" s="1501"/>
      <c r="D1579" s="1502" t="s">
        <v>1145</v>
      </c>
      <c r="E1579" s="1503">
        <v>0</v>
      </c>
      <c r="F1579" s="2790"/>
      <c r="G1579" s="2987"/>
      <c r="H1579" s="2792" t="e">
        <f t="shared" si="102"/>
        <v>#DIV/0!</v>
      </c>
    </row>
    <row r="1580" spans="1:8" ht="12.75" hidden="1" customHeight="1">
      <c r="A1580" s="1556"/>
      <c r="B1580" s="1429"/>
      <c r="C1580" s="4358" t="s">
        <v>688</v>
      </c>
      <c r="D1580" s="4358"/>
      <c r="E1580" s="2946">
        <v>0</v>
      </c>
      <c r="F1580" s="2790"/>
      <c r="G1580" s="2987"/>
      <c r="H1580" s="2792" t="e">
        <f t="shared" si="102"/>
        <v>#DIV/0!</v>
      </c>
    </row>
    <row r="1581" spans="1:8" ht="12.75" hidden="1" customHeight="1">
      <c r="A1581" s="1556"/>
      <c r="B1581" s="1429"/>
      <c r="C1581" s="4641" t="s">
        <v>689</v>
      </c>
      <c r="D1581" s="4641"/>
      <c r="E1581" s="2900">
        <v>0</v>
      </c>
      <c r="F1581" s="2790"/>
      <c r="G1581" s="3056"/>
      <c r="H1581" s="2792" t="e">
        <f t="shared" si="102"/>
        <v>#DIV/0!</v>
      </c>
    </row>
    <row r="1582" spans="1:8" ht="12.75" hidden="1" customHeight="1">
      <c r="A1582" s="1556"/>
      <c r="B1582" s="1429"/>
      <c r="C1582" s="4643" t="s">
        <v>690</v>
      </c>
      <c r="D1582" s="4643"/>
      <c r="E1582" s="2907">
        <v>0</v>
      </c>
      <c r="F1582" s="2790"/>
      <c r="G1582" s="3056"/>
      <c r="H1582" s="2792" t="e">
        <f t="shared" si="102"/>
        <v>#DIV/0!</v>
      </c>
    </row>
    <row r="1583" spans="1:8" ht="12.75" hidden="1" customHeight="1">
      <c r="A1583" s="1556"/>
      <c r="B1583" s="1429"/>
      <c r="C1583" s="3059" t="s">
        <v>692</v>
      </c>
      <c r="D1583" s="3060" t="s">
        <v>693</v>
      </c>
      <c r="E1583" s="2900">
        <v>0</v>
      </c>
      <c r="F1583" s="2790"/>
      <c r="G1583" s="3056"/>
      <c r="H1583" s="2792" t="e">
        <f t="shared" si="102"/>
        <v>#DIV/0!</v>
      </c>
    </row>
    <row r="1584" spans="1:8" ht="12.75" hidden="1" customHeight="1">
      <c r="A1584" s="1556"/>
      <c r="B1584" s="1429"/>
      <c r="C1584" s="3061" t="s">
        <v>694</v>
      </c>
      <c r="D1584" s="3062" t="s">
        <v>695</v>
      </c>
      <c r="E1584" s="2900">
        <v>0</v>
      </c>
      <c r="F1584" s="2790"/>
      <c r="G1584" s="3056"/>
      <c r="H1584" s="2792" t="e">
        <f t="shared" si="102"/>
        <v>#DIV/0!</v>
      </c>
    </row>
    <row r="1585" spans="1:8" ht="12.75" hidden="1" customHeight="1">
      <c r="A1585" s="1556"/>
      <c r="B1585" s="1429"/>
      <c r="C1585" s="3061" t="s">
        <v>696</v>
      </c>
      <c r="D1585" s="3062" t="s">
        <v>697</v>
      </c>
      <c r="E1585" s="2900">
        <v>0</v>
      </c>
      <c r="F1585" s="2790"/>
      <c r="G1585" s="3056"/>
      <c r="H1585" s="2792" t="e">
        <f t="shared" si="102"/>
        <v>#DIV/0!</v>
      </c>
    </row>
    <row r="1586" spans="1:8" ht="25.5" hidden="1" customHeight="1">
      <c r="A1586" s="1556"/>
      <c r="B1586" s="1429"/>
      <c r="C1586" s="3063" t="s">
        <v>698</v>
      </c>
      <c r="D1586" s="3064" t="s">
        <v>831</v>
      </c>
      <c r="E1586" s="2900">
        <v>0</v>
      </c>
      <c r="F1586" s="2790"/>
      <c r="G1586" s="2987"/>
      <c r="H1586" s="2792" t="e">
        <f t="shared" si="102"/>
        <v>#DIV/0!</v>
      </c>
    </row>
    <row r="1587" spans="1:8" ht="12.75" hidden="1" customHeight="1">
      <c r="A1587" s="1556"/>
      <c r="B1587" s="1429"/>
      <c r="C1587" s="2197"/>
      <c r="D1587" s="1479"/>
      <c r="E1587" s="1457"/>
      <c r="F1587" s="2790"/>
      <c r="G1587" s="2987"/>
      <c r="H1587" s="2792" t="e">
        <f t="shared" si="102"/>
        <v>#DIV/0!</v>
      </c>
    </row>
    <row r="1588" spans="1:8" ht="12.75" hidden="1" customHeight="1">
      <c r="A1588" s="1556"/>
      <c r="B1588" s="1429"/>
      <c r="C1588" s="4645" t="s">
        <v>704</v>
      </c>
      <c r="D1588" s="4645"/>
      <c r="E1588" s="3065">
        <v>0</v>
      </c>
      <c r="F1588" s="2790"/>
      <c r="G1588" s="3056"/>
      <c r="H1588" s="2792" t="e">
        <f t="shared" si="102"/>
        <v>#DIV/0!</v>
      </c>
    </row>
    <row r="1589" spans="1:8" ht="12.75" hidden="1" customHeight="1">
      <c r="A1589" s="1556"/>
      <c r="B1589" s="1429"/>
      <c r="C1589" s="2952" t="s">
        <v>707</v>
      </c>
      <c r="D1589" s="2953" t="s">
        <v>708</v>
      </c>
      <c r="E1589" s="2954">
        <v>0</v>
      </c>
      <c r="F1589" s="2790"/>
      <c r="G1589" s="3056"/>
      <c r="H1589" s="2792" t="e">
        <f t="shared" si="102"/>
        <v>#DIV/0!</v>
      </c>
    </row>
    <row r="1590" spans="1:8" ht="12.75" hidden="1" customHeight="1">
      <c r="A1590" s="1556"/>
      <c r="B1590" s="1429"/>
      <c r="C1590" s="3059" t="s">
        <v>942</v>
      </c>
      <c r="D1590" s="3060" t="s">
        <v>943</v>
      </c>
      <c r="E1590" s="2954">
        <v>0</v>
      </c>
      <c r="F1590" s="2790"/>
      <c r="G1590" s="3056"/>
      <c r="H1590" s="2792" t="e">
        <f t="shared" si="102"/>
        <v>#DIV/0!</v>
      </c>
    </row>
    <row r="1591" spans="1:8" ht="12.75" hidden="1" customHeight="1">
      <c r="A1591" s="1556"/>
      <c r="B1591" s="1429"/>
      <c r="C1591" s="3059" t="s">
        <v>711</v>
      </c>
      <c r="D1591" s="3060" t="s">
        <v>712</v>
      </c>
      <c r="E1591" s="2954">
        <v>0</v>
      </c>
      <c r="F1591" s="2790"/>
      <c r="G1591" s="3056"/>
      <c r="H1591" s="2792" t="e">
        <f t="shared" si="102"/>
        <v>#DIV/0!</v>
      </c>
    </row>
    <row r="1592" spans="1:8" ht="12.75" hidden="1" customHeight="1">
      <c r="A1592" s="1556"/>
      <c r="B1592" s="1429"/>
      <c r="C1592" s="3059" t="s">
        <v>717</v>
      </c>
      <c r="D1592" s="3060" t="s">
        <v>718</v>
      </c>
      <c r="E1592" s="2954">
        <v>0</v>
      </c>
      <c r="F1592" s="2790"/>
      <c r="G1592" s="3056"/>
      <c r="H1592" s="2792" t="e">
        <f t="shared" si="102"/>
        <v>#DIV/0!</v>
      </c>
    </row>
    <row r="1593" spans="1:8" ht="16.5" customHeight="1">
      <c r="A1593" s="1556"/>
      <c r="B1593" s="1429"/>
      <c r="C1593" s="3066"/>
      <c r="D1593" s="2971"/>
      <c r="E1593" s="2954"/>
      <c r="F1593" s="2790"/>
      <c r="G1593" s="3056"/>
      <c r="H1593" s="2792"/>
    </row>
    <row r="1594" spans="1:8" ht="16.5" customHeight="1">
      <c r="A1594" s="1556"/>
      <c r="B1594" s="1429"/>
      <c r="C1594" s="4651" t="s">
        <v>761</v>
      </c>
      <c r="D1594" s="4464"/>
      <c r="E1594" s="2954">
        <f>SUM(E1595:E1604)</f>
        <v>0</v>
      </c>
      <c r="F1594" s="1451">
        <f>SUM(F1595:F1604)</f>
        <v>45597</v>
      </c>
      <c r="G1594" s="2983">
        <f>SUM(G1595:G1604)</f>
        <v>0</v>
      </c>
      <c r="H1594" s="2792">
        <f t="shared" ref="H1594:H1620" si="103">G1594/F1594</f>
        <v>0</v>
      </c>
    </row>
    <row r="1595" spans="1:8" ht="16.5" customHeight="1">
      <c r="A1595" s="1556"/>
      <c r="B1595" s="1429"/>
      <c r="C1595" s="3059" t="s">
        <v>827</v>
      </c>
      <c r="D1595" s="3067" t="s">
        <v>693</v>
      </c>
      <c r="E1595" s="2954">
        <v>0</v>
      </c>
      <c r="F1595" s="2790">
        <v>1906</v>
      </c>
      <c r="G1595" s="3056">
        <v>0</v>
      </c>
      <c r="H1595" s="2792">
        <f t="shared" si="103"/>
        <v>0</v>
      </c>
    </row>
    <row r="1596" spans="1:8" ht="16.5" customHeight="1">
      <c r="A1596" s="1556"/>
      <c r="B1596" s="1429"/>
      <c r="C1596" s="3059" t="s">
        <v>767</v>
      </c>
      <c r="D1596" s="3067" t="s">
        <v>693</v>
      </c>
      <c r="E1596" s="2954">
        <v>0</v>
      </c>
      <c r="F1596" s="2790">
        <v>356</v>
      </c>
      <c r="G1596" s="3056">
        <v>0</v>
      </c>
      <c r="H1596" s="2792">
        <f t="shared" si="103"/>
        <v>0</v>
      </c>
    </row>
    <row r="1597" spans="1:8" ht="16.5" customHeight="1">
      <c r="A1597" s="1556"/>
      <c r="B1597" s="1429"/>
      <c r="C1597" s="3059" t="s">
        <v>829</v>
      </c>
      <c r="D1597" s="3067" t="s">
        <v>697</v>
      </c>
      <c r="E1597" s="2954">
        <v>0</v>
      </c>
      <c r="F1597" s="2790">
        <v>2842</v>
      </c>
      <c r="G1597" s="3056">
        <v>0</v>
      </c>
      <c r="H1597" s="2792">
        <f t="shared" si="103"/>
        <v>0</v>
      </c>
    </row>
    <row r="1598" spans="1:8" ht="16.5" customHeight="1">
      <c r="A1598" s="1556"/>
      <c r="B1598" s="1429"/>
      <c r="C1598" s="3059" t="s">
        <v>771</v>
      </c>
      <c r="D1598" s="3067" t="s">
        <v>697</v>
      </c>
      <c r="E1598" s="2954">
        <v>0</v>
      </c>
      <c r="F1598" s="2790">
        <v>530</v>
      </c>
      <c r="G1598" s="3056">
        <v>0</v>
      </c>
      <c r="H1598" s="2792">
        <f t="shared" si="103"/>
        <v>0</v>
      </c>
    </row>
    <row r="1599" spans="1:8" ht="16.5" customHeight="1">
      <c r="A1599" s="1556"/>
      <c r="B1599" s="1429"/>
      <c r="C1599" s="3059" t="s">
        <v>830</v>
      </c>
      <c r="D1599" s="3064" t="s">
        <v>699</v>
      </c>
      <c r="E1599" s="2954">
        <v>0</v>
      </c>
      <c r="F1599" s="2790">
        <v>436</v>
      </c>
      <c r="G1599" s="3056">
        <v>0</v>
      </c>
      <c r="H1599" s="2792">
        <f t="shared" si="103"/>
        <v>0</v>
      </c>
    </row>
    <row r="1600" spans="1:8" ht="16.5" customHeight="1">
      <c r="A1600" s="1556"/>
      <c r="B1600" s="1429"/>
      <c r="C1600" s="3059" t="s">
        <v>773</v>
      </c>
      <c r="D1600" s="3064" t="s">
        <v>699</v>
      </c>
      <c r="E1600" s="2954">
        <v>0</v>
      </c>
      <c r="F1600" s="2790">
        <v>81</v>
      </c>
      <c r="G1600" s="3056">
        <v>0</v>
      </c>
      <c r="H1600" s="2792">
        <f t="shared" si="103"/>
        <v>0</v>
      </c>
    </row>
    <row r="1601" spans="1:8" ht="16.5" customHeight="1">
      <c r="A1601" s="1556"/>
      <c r="B1601" s="1429"/>
      <c r="C1601" s="3059" t="s">
        <v>1129</v>
      </c>
      <c r="D1601" s="3060" t="s">
        <v>943</v>
      </c>
      <c r="E1601" s="2954">
        <v>0</v>
      </c>
      <c r="F1601" s="2790">
        <v>13477</v>
      </c>
      <c r="G1601" s="3056">
        <v>0</v>
      </c>
      <c r="H1601" s="2792">
        <f t="shared" si="103"/>
        <v>0</v>
      </c>
    </row>
    <row r="1602" spans="1:8" ht="16.5" customHeight="1">
      <c r="A1602" s="1556"/>
      <c r="B1602" s="1429"/>
      <c r="C1602" s="3059" t="s">
        <v>1130</v>
      </c>
      <c r="D1602" s="3060" t="s">
        <v>943</v>
      </c>
      <c r="E1602" s="2954">
        <v>0</v>
      </c>
      <c r="F1602" s="2790">
        <v>2514</v>
      </c>
      <c r="G1602" s="3056">
        <v>0</v>
      </c>
      <c r="H1602" s="2792">
        <f t="shared" si="103"/>
        <v>0</v>
      </c>
    </row>
    <row r="1603" spans="1:8" ht="16.5" customHeight="1">
      <c r="A1603" s="1556"/>
      <c r="B1603" s="1429"/>
      <c r="C1603" s="3059" t="s">
        <v>1141</v>
      </c>
      <c r="D1603" s="3060" t="s">
        <v>1111</v>
      </c>
      <c r="E1603" s="2954">
        <v>0</v>
      </c>
      <c r="F1603" s="2790">
        <v>19768</v>
      </c>
      <c r="G1603" s="3056">
        <v>0</v>
      </c>
      <c r="H1603" s="2792">
        <f t="shared" si="103"/>
        <v>0</v>
      </c>
    </row>
    <row r="1604" spans="1:8" ht="16.5" customHeight="1">
      <c r="A1604" s="1556"/>
      <c r="B1604" s="1429"/>
      <c r="C1604" s="3059" t="s">
        <v>1142</v>
      </c>
      <c r="D1604" s="3060" t="s">
        <v>1111</v>
      </c>
      <c r="E1604" s="2954">
        <v>0</v>
      </c>
      <c r="F1604" s="2790">
        <v>3687</v>
      </c>
      <c r="G1604" s="3056">
        <v>0</v>
      </c>
      <c r="H1604" s="2792">
        <f t="shared" si="103"/>
        <v>0</v>
      </c>
    </row>
    <row r="1605" spans="1:8" ht="13.5" hidden="1" customHeight="1">
      <c r="A1605" s="1556"/>
      <c r="B1605" s="1750"/>
      <c r="C1605" s="3068" t="s">
        <v>735</v>
      </c>
      <c r="D1605" s="3069" t="s">
        <v>736</v>
      </c>
      <c r="E1605" s="3019">
        <v>0</v>
      </c>
      <c r="F1605" s="2805"/>
      <c r="G1605" s="3070"/>
      <c r="H1605" s="3071" t="e">
        <f t="shared" si="103"/>
        <v>#DIV/0!</v>
      </c>
    </row>
    <row r="1606" spans="1:8">
      <c r="A1606" s="1556"/>
      <c r="B1606" s="1556"/>
      <c r="C1606" s="2958"/>
      <c r="D1606" s="3072"/>
      <c r="E1606" s="2958"/>
      <c r="F1606" s="2790"/>
      <c r="G1606" s="3056"/>
      <c r="H1606" s="2792"/>
    </row>
    <row r="1607" spans="1:8" ht="17.100000000000001" customHeight="1">
      <c r="A1607" s="1556"/>
      <c r="B1607" s="1556"/>
      <c r="C1607" s="4652" t="s">
        <v>744</v>
      </c>
      <c r="D1607" s="4653"/>
      <c r="E1607" s="3010">
        <f>SUM(E1608)</f>
        <v>39710</v>
      </c>
      <c r="F1607" s="3011">
        <f>SUM(F1608)</f>
        <v>0</v>
      </c>
      <c r="G1607" s="3012">
        <f>SUM(G1608)</f>
        <v>26880</v>
      </c>
      <c r="H1607" s="2797"/>
    </row>
    <row r="1608" spans="1:8" ht="17.100000000000001" customHeight="1">
      <c r="A1608" s="1556"/>
      <c r="B1608" s="1556"/>
      <c r="C1608" s="4654" t="s">
        <v>745</v>
      </c>
      <c r="D1608" s="4655"/>
      <c r="E1608" s="2954">
        <f>SUM(E1610)</f>
        <v>39710</v>
      </c>
      <c r="F1608" s="1451">
        <f>SUM(F1610)</f>
        <v>0</v>
      </c>
      <c r="G1608" s="2983">
        <f>SUM(G1610)</f>
        <v>26880</v>
      </c>
      <c r="H1608" s="2792"/>
    </row>
    <row r="1609" spans="1:8" ht="17.100000000000001" hidden="1" customHeight="1">
      <c r="A1609" s="1556"/>
      <c r="B1609" s="1556"/>
      <c r="C1609" s="3073" t="s">
        <v>755</v>
      </c>
      <c r="D1609" s="3074" t="s">
        <v>747</v>
      </c>
      <c r="E1609" s="2954">
        <v>0</v>
      </c>
      <c r="F1609" s="2790"/>
      <c r="G1609" s="3056"/>
      <c r="H1609" s="2792"/>
    </row>
    <row r="1610" spans="1:8" ht="17.100000000000001" customHeight="1" thickBot="1">
      <c r="A1610" s="1556"/>
      <c r="B1610" s="1556"/>
      <c r="C1610" s="3075" t="s">
        <v>746</v>
      </c>
      <c r="D1610" s="3016" t="s">
        <v>801</v>
      </c>
      <c r="E1610" s="1520">
        <v>39710</v>
      </c>
      <c r="F1610" s="2790">
        <v>0</v>
      </c>
      <c r="G1610" s="3056">
        <v>26880</v>
      </c>
      <c r="H1610" s="2792"/>
    </row>
    <row r="1611" spans="1:8" ht="17.100000000000001" customHeight="1" thickBot="1">
      <c r="A1611" s="1556"/>
      <c r="B1611" s="1500" t="s">
        <v>1146</v>
      </c>
      <c r="C1611" s="1501"/>
      <c r="D1611" s="1502" t="s">
        <v>312</v>
      </c>
      <c r="E1611" s="1503">
        <f>SUM(E1612,E1656)</f>
        <v>2674868</v>
      </c>
      <c r="F1611" s="1504">
        <f>SUM(F1612,F1656)</f>
        <v>3845029</v>
      </c>
      <c r="G1611" s="1505">
        <f>SUM(G1612,G1656)</f>
        <v>3180799</v>
      </c>
      <c r="H1611" s="1506">
        <f t="shared" si="103"/>
        <v>0.82724967744066424</v>
      </c>
    </row>
    <row r="1612" spans="1:8" ht="17.100000000000001" customHeight="1">
      <c r="A1612" s="1556"/>
      <c r="B1612" s="1524"/>
      <c r="C1612" s="4497" t="s">
        <v>688</v>
      </c>
      <c r="D1612" s="4524"/>
      <c r="E1612" s="2101">
        <f>SUM(E1613,E1630,E1638,E1643)</f>
        <v>2645918</v>
      </c>
      <c r="F1612" s="2102">
        <f>SUM(F1613,F1630,F1638,F1643)</f>
        <v>3814680</v>
      </c>
      <c r="G1612" s="3076">
        <f>SUM(G1613,G1630,G1638,G1643)</f>
        <v>3180799</v>
      </c>
      <c r="H1612" s="1509">
        <f t="shared" si="103"/>
        <v>0.83383114704247796</v>
      </c>
    </row>
    <row r="1613" spans="1:8" ht="17.100000000000001" customHeight="1">
      <c r="A1613" s="1556"/>
      <c r="B1613" s="1750"/>
      <c r="C1613" s="4641" t="s">
        <v>689</v>
      </c>
      <c r="D1613" s="4642"/>
      <c r="E1613" s="2900">
        <f>SUM(E1614,E1622)</f>
        <v>713320</v>
      </c>
      <c r="F1613" s="2790">
        <f>SUM(F1614,F1622)</f>
        <v>1244510</v>
      </c>
      <c r="G1613" s="3077">
        <f>SUM(G1614,G1622)</f>
        <v>937583</v>
      </c>
      <c r="H1613" s="2792">
        <f t="shared" si="103"/>
        <v>0.75337522398373657</v>
      </c>
    </row>
    <row r="1614" spans="1:8" ht="17.100000000000001" customHeight="1">
      <c r="A1614" s="1556"/>
      <c r="B1614" s="1750"/>
      <c r="C1614" s="4643" t="s">
        <v>690</v>
      </c>
      <c r="D1614" s="4644"/>
      <c r="E1614" s="2907">
        <f>SUM(E1615:E1620)</f>
        <v>3300</v>
      </c>
      <c r="F1614" s="2865">
        <f>SUM(F1615:F1620)</f>
        <v>77489</v>
      </c>
      <c r="G1614" s="3078">
        <f>SUM(G1615:G1620)</f>
        <v>4400</v>
      </c>
      <c r="H1614" s="2867">
        <f t="shared" si="103"/>
        <v>5.6782252964936962E-2</v>
      </c>
    </row>
    <row r="1615" spans="1:8" ht="16.5" customHeight="1">
      <c r="A1615" s="1556"/>
      <c r="B1615" s="1750"/>
      <c r="C1615" s="3059" t="s">
        <v>692</v>
      </c>
      <c r="D1615" s="3067" t="s">
        <v>693</v>
      </c>
      <c r="E1615" s="2900">
        <v>0</v>
      </c>
      <c r="F1615" s="2790">
        <v>19160</v>
      </c>
      <c r="G1615" s="3056">
        <v>0</v>
      </c>
      <c r="H1615" s="2792">
        <f t="shared" si="103"/>
        <v>0</v>
      </c>
    </row>
    <row r="1616" spans="1:8" ht="16.5" customHeight="1">
      <c r="A1616" s="1556"/>
      <c r="B1616" s="1750"/>
      <c r="C1616" s="3059" t="s">
        <v>696</v>
      </c>
      <c r="D1616" s="3067" t="s">
        <v>697</v>
      </c>
      <c r="E1616" s="2900">
        <v>0</v>
      </c>
      <c r="F1616" s="2790">
        <v>7326</v>
      </c>
      <c r="G1616" s="3056">
        <v>0</v>
      </c>
      <c r="H1616" s="2792">
        <f t="shared" si="103"/>
        <v>0</v>
      </c>
    </row>
    <row r="1617" spans="1:10" ht="16.5" customHeight="1">
      <c r="A1617" s="1556"/>
      <c r="B1617" s="1750"/>
      <c r="C1617" s="3059" t="s">
        <v>698</v>
      </c>
      <c r="D1617" s="3064" t="s">
        <v>699</v>
      </c>
      <c r="E1617" s="2900">
        <v>0</v>
      </c>
      <c r="F1617" s="2790">
        <v>887</v>
      </c>
      <c r="G1617" s="3056">
        <v>0</v>
      </c>
      <c r="H1617" s="2792">
        <f t="shared" si="103"/>
        <v>0</v>
      </c>
    </row>
    <row r="1618" spans="1:10" ht="16.5" customHeight="1">
      <c r="A1618" s="1750"/>
      <c r="B1618" s="1750"/>
      <c r="C1618" s="3079" t="s">
        <v>700</v>
      </c>
      <c r="D1618" s="3074" t="s">
        <v>701</v>
      </c>
      <c r="E1618" s="2900">
        <v>3300</v>
      </c>
      <c r="F1618" s="2790">
        <v>31300</v>
      </c>
      <c r="G1618" s="3056">
        <v>4400</v>
      </c>
      <c r="H1618" s="2792">
        <f t="shared" si="103"/>
        <v>0.14057507987220447</v>
      </c>
    </row>
    <row r="1619" spans="1:10" ht="16.5" customHeight="1">
      <c r="A1619" s="1556"/>
      <c r="B1619" s="1750"/>
      <c r="C1619" s="3080" t="s">
        <v>702</v>
      </c>
      <c r="D1619" s="2966" t="s">
        <v>703</v>
      </c>
      <c r="E1619" s="2954">
        <v>0</v>
      </c>
      <c r="F1619" s="1451">
        <v>265</v>
      </c>
      <c r="G1619" s="2617">
        <v>0</v>
      </c>
      <c r="H1619" s="1453">
        <f t="shared" si="103"/>
        <v>0</v>
      </c>
    </row>
    <row r="1620" spans="1:10" ht="16.5" customHeight="1">
      <c r="A1620" s="1556"/>
      <c r="B1620" s="1750"/>
      <c r="C1620" s="3081" t="s">
        <v>1110</v>
      </c>
      <c r="D1620" s="3060" t="s">
        <v>1111</v>
      </c>
      <c r="E1620" s="2900">
        <v>0</v>
      </c>
      <c r="F1620" s="2790">
        <v>18551</v>
      </c>
      <c r="G1620" s="3056">
        <v>0</v>
      </c>
      <c r="H1620" s="2792">
        <f t="shared" si="103"/>
        <v>0</v>
      </c>
    </row>
    <row r="1621" spans="1:10" ht="17.100000000000001" customHeight="1">
      <c r="A1621" s="1556"/>
      <c r="B1621" s="1750"/>
      <c r="C1621" s="2366"/>
      <c r="D1621" s="3082"/>
      <c r="E1621" s="2367"/>
      <c r="F1621" s="2805"/>
      <c r="G1621" s="3070"/>
      <c r="H1621" s="2807"/>
    </row>
    <row r="1622" spans="1:10" ht="17.100000000000001" customHeight="1">
      <c r="A1622" s="1556"/>
      <c r="B1622" s="1750"/>
      <c r="C1622" s="4645" t="s">
        <v>704</v>
      </c>
      <c r="D1622" s="4646"/>
      <c r="E1622" s="2907">
        <f>SUM(E1623:E1628)</f>
        <v>710020</v>
      </c>
      <c r="F1622" s="2865">
        <f>SUM(F1623:F1628)</f>
        <v>1167021</v>
      </c>
      <c r="G1622" s="3078">
        <f>SUM(G1623:G1628)</f>
        <v>933183</v>
      </c>
      <c r="H1622" s="2867">
        <f t="shared" ref="H1622:H1628" si="104">G1622/F1622</f>
        <v>0.79962828432393251</v>
      </c>
    </row>
    <row r="1623" spans="1:10" ht="17.100000000000001" customHeight="1">
      <c r="A1623" s="1556"/>
      <c r="B1623" s="1750"/>
      <c r="C1623" s="3059" t="s">
        <v>707</v>
      </c>
      <c r="D1623" s="3067" t="s">
        <v>708</v>
      </c>
      <c r="E1623" s="2900">
        <v>2000</v>
      </c>
      <c r="F1623" s="2790">
        <v>206888</v>
      </c>
      <c r="G1623" s="3056">
        <v>152000</v>
      </c>
      <c r="H1623" s="2792">
        <f t="shared" si="104"/>
        <v>0.73469703414407794</v>
      </c>
    </row>
    <row r="1624" spans="1:10" ht="17.100000000000001" customHeight="1">
      <c r="A1624" s="1556"/>
      <c r="B1624" s="1750"/>
      <c r="C1624" s="3059" t="s">
        <v>709</v>
      </c>
      <c r="D1624" s="3060" t="s">
        <v>710</v>
      </c>
      <c r="E1624" s="2900">
        <v>0</v>
      </c>
      <c r="F1624" s="2790">
        <v>51243</v>
      </c>
      <c r="G1624" s="3056">
        <v>0</v>
      </c>
      <c r="H1624" s="2792">
        <f t="shared" si="104"/>
        <v>0</v>
      </c>
    </row>
    <row r="1625" spans="1:10" ht="17.100000000000001" customHeight="1">
      <c r="A1625" s="1556"/>
      <c r="B1625" s="1750"/>
      <c r="C1625" s="3059" t="s">
        <v>942</v>
      </c>
      <c r="D1625" s="3060" t="s">
        <v>943</v>
      </c>
      <c r="E1625" s="2900">
        <v>0</v>
      </c>
      <c r="F1625" s="2790">
        <v>23190</v>
      </c>
      <c r="G1625" s="3056">
        <v>0</v>
      </c>
      <c r="H1625" s="2792">
        <f t="shared" si="104"/>
        <v>0</v>
      </c>
    </row>
    <row r="1626" spans="1:10" ht="17.100000000000001" customHeight="1">
      <c r="A1626" s="1556"/>
      <c r="B1626" s="1750"/>
      <c r="C1626" s="3059" t="s">
        <v>717</v>
      </c>
      <c r="D1626" s="3067" t="s">
        <v>718</v>
      </c>
      <c r="E1626" s="2900">
        <v>26000</v>
      </c>
      <c r="F1626" s="2790">
        <v>200038</v>
      </c>
      <c r="G1626" s="3056">
        <v>31100</v>
      </c>
      <c r="H1626" s="2792">
        <f t="shared" si="104"/>
        <v>0.15547046061248362</v>
      </c>
    </row>
    <row r="1627" spans="1:10" ht="17.100000000000001" customHeight="1">
      <c r="A1627" s="1556"/>
      <c r="B1627" s="1750"/>
      <c r="C1627" s="3059" t="s">
        <v>727</v>
      </c>
      <c r="D1627" s="3064" t="s">
        <v>728</v>
      </c>
      <c r="E1627" s="2900">
        <v>0</v>
      </c>
      <c r="F1627" s="2790">
        <v>925</v>
      </c>
      <c r="G1627" s="3056">
        <v>0</v>
      </c>
      <c r="H1627" s="2792">
        <f t="shared" si="104"/>
        <v>0</v>
      </c>
    </row>
    <row r="1628" spans="1:10" ht="17.100000000000001" customHeight="1">
      <c r="A1628" s="1750"/>
      <c r="B1628" s="1750"/>
      <c r="C1628" s="3079" t="s">
        <v>729</v>
      </c>
      <c r="D1628" s="3083" t="s">
        <v>730</v>
      </c>
      <c r="E1628" s="2900">
        <v>682020</v>
      </c>
      <c r="F1628" s="2790">
        <v>684737</v>
      </c>
      <c r="G1628" s="3056">
        <v>750083</v>
      </c>
      <c r="H1628" s="2792">
        <f t="shared" si="104"/>
        <v>1.0954322608534373</v>
      </c>
    </row>
    <row r="1629" spans="1:10" ht="17.100000000000001" customHeight="1">
      <c r="A1629" s="1556"/>
      <c r="B1629" s="1750"/>
      <c r="C1629" s="2366"/>
      <c r="D1629" s="3082"/>
      <c r="E1629" s="2367"/>
      <c r="F1629" s="1909"/>
      <c r="G1629" s="2474"/>
      <c r="H1629" s="1942"/>
    </row>
    <row r="1630" spans="1:10" ht="17.100000000000001" customHeight="1">
      <c r="A1630" s="1556"/>
      <c r="B1630" s="1750"/>
      <c r="C1630" s="4647" t="s">
        <v>797</v>
      </c>
      <c r="D1630" s="4648"/>
      <c r="E1630" s="2900">
        <f>SUM(E1631:E1636)</f>
        <v>1308949</v>
      </c>
      <c r="F1630" s="2790">
        <f>SUM(F1631:F1636)</f>
        <v>1881151</v>
      </c>
      <c r="G1630" s="3077">
        <f>SUM(G1631:G1636)</f>
        <v>629504</v>
      </c>
      <c r="H1630" s="2792">
        <f t="shared" ref="H1630:H1636" si="105">G1630/F1630</f>
        <v>0.33463767661394539</v>
      </c>
    </row>
    <row r="1631" spans="1:10" ht="68.25" customHeight="1">
      <c r="A1631" s="1556"/>
      <c r="B1631" s="1750"/>
      <c r="C1631" s="3084" t="s">
        <v>623</v>
      </c>
      <c r="D1631" s="3055" t="s">
        <v>822</v>
      </c>
      <c r="E1631" s="3085">
        <v>813868</v>
      </c>
      <c r="F1631" s="2790">
        <v>1189800</v>
      </c>
      <c r="G1631" s="3056">
        <v>611361</v>
      </c>
      <c r="H1631" s="2792">
        <f t="shared" si="105"/>
        <v>0.51383509833585472</v>
      </c>
      <c r="J1631" s="1370" t="s">
        <v>823</v>
      </c>
    </row>
    <row r="1632" spans="1:10" ht="54.75" customHeight="1">
      <c r="A1632" s="1556"/>
      <c r="B1632" s="1750"/>
      <c r="C1632" s="3081" t="s">
        <v>448</v>
      </c>
      <c r="D1632" s="3086" t="s">
        <v>764</v>
      </c>
      <c r="E1632" s="3085">
        <v>495081</v>
      </c>
      <c r="F1632" s="2790">
        <v>579549</v>
      </c>
      <c r="G1632" s="3056">
        <v>18143</v>
      </c>
      <c r="H1632" s="2792">
        <f t="shared" si="105"/>
        <v>3.1305377112202763E-2</v>
      </c>
      <c r="J1632" s="1370" t="s">
        <v>823</v>
      </c>
    </row>
    <row r="1633" spans="1:8" ht="54.75" customHeight="1">
      <c r="A1633" s="1556"/>
      <c r="B1633" s="1750"/>
      <c r="C1633" s="3081" t="s">
        <v>374</v>
      </c>
      <c r="D1633" s="3087" t="s">
        <v>817</v>
      </c>
      <c r="E1633" s="3085">
        <v>0</v>
      </c>
      <c r="F1633" s="2790">
        <v>30000</v>
      </c>
      <c r="G1633" s="3056">
        <v>0</v>
      </c>
      <c r="H1633" s="2792">
        <f t="shared" si="105"/>
        <v>0</v>
      </c>
    </row>
    <row r="1634" spans="1:8" ht="33" hidden="1" customHeight="1">
      <c r="A1634" s="1556"/>
      <c r="B1634" s="1750"/>
      <c r="C1634" s="3081" t="s">
        <v>353</v>
      </c>
      <c r="D1634" s="3088" t="s">
        <v>932</v>
      </c>
      <c r="E1634" s="3085">
        <v>0</v>
      </c>
      <c r="F1634" s="2790"/>
      <c r="G1634" s="3056"/>
      <c r="H1634" s="2792" t="e">
        <f t="shared" si="105"/>
        <v>#DIV/0!</v>
      </c>
    </row>
    <row r="1635" spans="1:8" ht="54.75" customHeight="1">
      <c r="A1635" s="1556"/>
      <c r="B1635" s="1750"/>
      <c r="C1635" s="3081" t="s">
        <v>564</v>
      </c>
      <c r="D1635" s="3089" t="s">
        <v>948</v>
      </c>
      <c r="E1635" s="3085">
        <v>0</v>
      </c>
      <c r="F1635" s="2790">
        <v>17850</v>
      </c>
      <c r="G1635" s="3056">
        <v>0</v>
      </c>
      <c r="H1635" s="2792">
        <f t="shared" si="105"/>
        <v>0</v>
      </c>
    </row>
    <row r="1636" spans="1:8" ht="16.5" customHeight="1">
      <c r="A1636" s="1556"/>
      <c r="B1636" s="1750"/>
      <c r="C1636" s="3080" t="s">
        <v>565</v>
      </c>
      <c r="D1636" s="3090" t="s">
        <v>825</v>
      </c>
      <c r="E1636" s="3085">
        <v>0</v>
      </c>
      <c r="F1636" s="2790">
        <v>63952</v>
      </c>
      <c r="G1636" s="3056">
        <v>0</v>
      </c>
      <c r="H1636" s="2792">
        <f t="shared" si="105"/>
        <v>0</v>
      </c>
    </row>
    <row r="1637" spans="1:8" ht="17.100000000000001" customHeight="1" thickBot="1">
      <c r="A1637" s="1797"/>
      <c r="B1637" s="2001"/>
      <c r="C1637" s="3091"/>
      <c r="D1637" s="3092"/>
      <c r="E1637" s="3093"/>
      <c r="F1637" s="2408"/>
      <c r="G1637" s="3094"/>
      <c r="H1637" s="2410"/>
    </row>
    <row r="1638" spans="1:8" ht="17.100000000000001" customHeight="1">
      <c r="A1638" s="1700"/>
      <c r="B1638" s="2411"/>
      <c r="C1638" s="4649" t="s">
        <v>1026</v>
      </c>
      <c r="D1638" s="4650"/>
      <c r="E1638" s="2975">
        <f>SUM(E1639:E1641)</f>
        <v>623649</v>
      </c>
      <c r="F1638" s="1528">
        <f>SUM(F1639:F1641)</f>
        <v>623649</v>
      </c>
      <c r="G1638" s="3095">
        <f>SUM(G1639:G1641)</f>
        <v>685000</v>
      </c>
      <c r="H1638" s="1530">
        <f>G1638/F1638</f>
        <v>1.0983742457696557</v>
      </c>
    </row>
    <row r="1639" spans="1:8" ht="17.100000000000001" customHeight="1">
      <c r="A1639" s="1556"/>
      <c r="B1639" s="1750"/>
      <c r="C1639" s="3059" t="s">
        <v>742</v>
      </c>
      <c r="D1639" s="3067" t="s">
        <v>743</v>
      </c>
      <c r="E1639" s="2900">
        <v>46849</v>
      </c>
      <c r="F1639" s="2790">
        <v>46849</v>
      </c>
      <c r="G1639" s="3056">
        <v>0</v>
      </c>
      <c r="H1639" s="2792">
        <f>G1639/F1639</f>
        <v>0</v>
      </c>
    </row>
    <row r="1640" spans="1:8" ht="17.100000000000001" customHeight="1">
      <c r="A1640" s="1556"/>
      <c r="B1640" s="1750"/>
      <c r="C1640" s="3059" t="s">
        <v>1147</v>
      </c>
      <c r="D1640" s="3067" t="s">
        <v>1148</v>
      </c>
      <c r="E1640" s="2900">
        <v>150000</v>
      </c>
      <c r="F1640" s="2790">
        <v>150000</v>
      </c>
      <c r="G1640" s="3056">
        <v>185000</v>
      </c>
      <c r="H1640" s="2792">
        <f>G1640/F1640</f>
        <v>1.2333333333333334</v>
      </c>
    </row>
    <row r="1641" spans="1:8" ht="17.100000000000001" customHeight="1">
      <c r="A1641" s="1556"/>
      <c r="B1641" s="1750"/>
      <c r="C1641" s="3059" t="s">
        <v>1125</v>
      </c>
      <c r="D1641" s="3067" t="s">
        <v>1126</v>
      </c>
      <c r="E1641" s="2900">
        <v>426800</v>
      </c>
      <c r="F1641" s="2790">
        <v>426800</v>
      </c>
      <c r="G1641" s="3056">
        <v>500000</v>
      </c>
      <c r="H1641" s="2792">
        <f>G1641/F1641</f>
        <v>1.1715089034676665</v>
      </c>
    </row>
    <row r="1642" spans="1:8" ht="17.100000000000001" customHeight="1">
      <c r="A1642" s="1556"/>
      <c r="B1642" s="1750"/>
      <c r="C1642" s="3096"/>
      <c r="D1642" s="2741"/>
      <c r="E1642" s="3019"/>
      <c r="F1642" s="2805"/>
      <c r="G1642" s="3070"/>
      <c r="H1642" s="2807"/>
    </row>
    <row r="1643" spans="1:8" ht="17.100000000000001" customHeight="1">
      <c r="A1643" s="1750"/>
      <c r="B1643" s="1750"/>
      <c r="C1643" s="4629" t="s">
        <v>761</v>
      </c>
      <c r="D1643" s="4630"/>
      <c r="E1643" s="2954">
        <f>SUM(E1644:E1654)</f>
        <v>0</v>
      </c>
      <c r="F1643" s="1451">
        <f>SUM(F1644:F1654)</f>
        <v>65370</v>
      </c>
      <c r="G1643" s="2983">
        <f>SUM(G1644:G1654)</f>
        <v>928712</v>
      </c>
      <c r="H1643" s="1453">
        <f t="shared" ref="H1643:H1654" si="106">G1643/F1643</f>
        <v>14.20700627199021</v>
      </c>
    </row>
    <row r="1644" spans="1:8" ht="16.5" customHeight="1">
      <c r="A1644" s="1556"/>
      <c r="B1644" s="1750"/>
      <c r="C1644" s="3081" t="s">
        <v>1149</v>
      </c>
      <c r="D1644" s="3067" t="s">
        <v>693</v>
      </c>
      <c r="E1644" s="2900">
        <v>0</v>
      </c>
      <c r="F1644" s="2790">
        <v>7200</v>
      </c>
      <c r="G1644" s="3056">
        <v>87200</v>
      </c>
      <c r="H1644" s="2792">
        <f t="shared" si="106"/>
        <v>12.111111111111111</v>
      </c>
    </row>
    <row r="1645" spans="1:8" ht="16.5" customHeight="1">
      <c r="A1645" s="1556"/>
      <c r="B1645" s="1750"/>
      <c r="C1645" s="3081" t="s">
        <v>1150</v>
      </c>
      <c r="D1645" s="3067" t="s">
        <v>697</v>
      </c>
      <c r="E1645" s="2900">
        <v>0</v>
      </c>
      <c r="F1645" s="2790">
        <v>4014</v>
      </c>
      <c r="G1645" s="3056">
        <v>15300</v>
      </c>
      <c r="H1645" s="2792">
        <f t="shared" si="106"/>
        <v>3.811659192825112</v>
      </c>
    </row>
    <row r="1646" spans="1:8" ht="16.5" customHeight="1">
      <c r="A1646" s="1556"/>
      <c r="B1646" s="1750"/>
      <c r="C1646" s="3081" t="s">
        <v>1151</v>
      </c>
      <c r="D1646" s="3064" t="s">
        <v>699</v>
      </c>
      <c r="E1646" s="2900">
        <v>0</v>
      </c>
      <c r="F1646" s="2790">
        <v>573</v>
      </c>
      <c r="G1646" s="3056">
        <v>2181</v>
      </c>
      <c r="H1646" s="2792">
        <f t="shared" si="106"/>
        <v>3.8062827225130889</v>
      </c>
    </row>
    <row r="1647" spans="1:8" ht="16.5" customHeight="1">
      <c r="A1647" s="1556"/>
      <c r="B1647" s="1750"/>
      <c r="C1647" s="3081" t="s">
        <v>1152</v>
      </c>
      <c r="D1647" s="3097" t="s">
        <v>701</v>
      </c>
      <c r="E1647" s="2900">
        <v>0</v>
      </c>
      <c r="F1647" s="2790">
        <v>14684</v>
      </c>
      <c r="G1647" s="3056">
        <v>0</v>
      </c>
      <c r="H1647" s="2792">
        <f t="shared" si="106"/>
        <v>0</v>
      </c>
    </row>
    <row r="1648" spans="1:8" ht="16.5" customHeight="1">
      <c r="A1648" s="1556"/>
      <c r="B1648" s="1750"/>
      <c r="C1648" s="3044" t="s">
        <v>1153</v>
      </c>
      <c r="D1648" s="3067" t="s">
        <v>708</v>
      </c>
      <c r="E1648" s="2900"/>
      <c r="F1648" s="2790">
        <v>0</v>
      </c>
      <c r="G1648" s="3056">
        <v>3799</v>
      </c>
      <c r="H1648" s="2792"/>
    </row>
    <row r="1649" spans="1:10" ht="16.5" customHeight="1">
      <c r="A1649" s="1556"/>
      <c r="B1649" s="1750"/>
      <c r="C1649" s="3044" t="s">
        <v>1154</v>
      </c>
      <c r="D1649" s="3067" t="s">
        <v>718</v>
      </c>
      <c r="E1649" s="2900"/>
      <c r="F1649" s="2790">
        <v>2757</v>
      </c>
      <c r="G1649" s="3056">
        <v>786352</v>
      </c>
      <c r="H1649" s="2792">
        <f t="shared" si="106"/>
        <v>285.22016684802321</v>
      </c>
    </row>
    <row r="1650" spans="1:10" ht="16.5" customHeight="1">
      <c r="A1650" s="1556"/>
      <c r="B1650" s="1750"/>
      <c r="C1650" s="3044" t="s">
        <v>1155</v>
      </c>
      <c r="D1650" s="3062" t="s">
        <v>726</v>
      </c>
      <c r="E1650" s="2900"/>
      <c r="F1650" s="2790">
        <v>2576</v>
      </c>
      <c r="G1650" s="3056">
        <v>0</v>
      </c>
      <c r="H1650" s="2792">
        <f t="shared" si="106"/>
        <v>0</v>
      </c>
    </row>
    <row r="1651" spans="1:10" ht="16.5" customHeight="1">
      <c r="A1651" s="1556"/>
      <c r="B1651" s="1750"/>
      <c r="C1651" s="3044" t="s">
        <v>1156</v>
      </c>
      <c r="D1651" s="3060" t="s">
        <v>866</v>
      </c>
      <c r="E1651" s="2900">
        <v>0</v>
      </c>
      <c r="F1651" s="2790">
        <v>31572</v>
      </c>
      <c r="G1651" s="3056">
        <v>22051</v>
      </c>
      <c r="H1651" s="2792">
        <f t="shared" si="106"/>
        <v>0.69843532243760298</v>
      </c>
    </row>
    <row r="1652" spans="1:10" ht="16.5" customHeight="1">
      <c r="A1652" s="1556"/>
      <c r="B1652" s="1750"/>
      <c r="C1652" s="3098" t="s">
        <v>1157</v>
      </c>
      <c r="D1652" s="3064" t="s">
        <v>728</v>
      </c>
      <c r="E1652" s="2900"/>
      <c r="F1652" s="2790">
        <v>374</v>
      </c>
      <c r="G1652" s="2987">
        <v>8800</v>
      </c>
      <c r="H1652" s="2792">
        <f t="shared" si="106"/>
        <v>23.529411764705884</v>
      </c>
    </row>
    <row r="1653" spans="1:10" ht="16.5" customHeight="1">
      <c r="A1653" s="1556"/>
      <c r="B1653" s="1750"/>
      <c r="C1653" s="3099" t="s">
        <v>1158</v>
      </c>
      <c r="D1653" s="2966" t="s">
        <v>703</v>
      </c>
      <c r="E1653" s="2900">
        <v>0</v>
      </c>
      <c r="F1653" s="2790">
        <v>154</v>
      </c>
      <c r="G1653" s="2987">
        <v>1226</v>
      </c>
      <c r="H1653" s="2792">
        <f t="shared" si="106"/>
        <v>7.9610389610389607</v>
      </c>
    </row>
    <row r="1654" spans="1:10" ht="16.5" customHeight="1">
      <c r="A1654" s="1556"/>
      <c r="B1654" s="1750"/>
      <c r="C1654" s="3099" t="s">
        <v>1159</v>
      </c>
      <c r="D1654" s="3060" t="s">
        <v>1111</v>
      </c>
      <c r="E1654" s="1457">
        <v>0</v>
      </c>
      <c r="F1654" s="2790">
        <v>1466</v>
      </c>
      <c r="G1654" s="2987">
        <v>1803</v>
      </c>
      <c r="H1654" s="2792">
        <f t="shared" si="106"/>
        <v>1.2298772169167804</v>
      </c>
    </row>
    <row r="1655" spans="1:10" ht="17.100000000000001" customHeight="1">
      <c r="A1655" s="1556"/>
      <c r="B1655" s="1750"/>
      <c r="C1655" s="2366"/>
      <c r="D1655" s="3082"/>
      <c r="E1655" s="3100"/>
      <c r="F1655" s="2805"/>
      <c r="G1655" s="3024"/>
      <c r="H1655" s="2807"/>
    </row>
    <row r="1656" spans="1:10" ht="17.100000000000001" customHeight="1">
      <c r="A1656" s="1556"/>
      <c r="B1656" s="1750"/>
      <c r="C1656" s="4631" t="s">
        <v>744</v>
      </c>
      <c r="D1656" s="4632"/>
      <c r="E1656" s="3101">
        <f>SUM(E1657)</f>
        <v>28950</v>
      </c>
      <c r="F1656" s="2787">
        <f>SUM(F1657)</f>
        <v>30349</v>
      </c>
      <c r="G1656" s="3102">
        <f>SUM(G1657)</f>
        <v>0</v>
      </c>
      <c r="H1656" s="2797">
        <f t="shared" ref="H1656:H1699" si="107">G1656/F1656</f>
        <v>0</v>
      </c>
    </row>
    <row r="1657" spans="1:10" ht="16.5" customHeight="1">
      <c r="A1657" s="1556"/>
      <c r="B1657" s="1750"/>
      <c r="C1657" s="4633" t="s">
        <v>745</v>
      </c>
      <c r="D1657" s="4634"/>
      <c r="E1657" s="2900">
        <f>SUM(E1658:E1662)</f>
        <v>28950</v>
      </c>
      <c r="F1657" s="2790">
        <f>SUM(F1658:F1662)</f>
        <v>30349</v>
      </c>
      <c r="G1657" s="3077">
        <f>SUM(G1658:G1662)</f>
        <v>0</v>
      </c>
      <c r="H1657" s="2792">
        <f t="shared" si="107"/>
        <v>0</v>
      </c>
    </row>
    <row r="1658" spans="1:10" ht="56.25" customHeight="1">
      <c r="A1658" s="1750"/>
      <c r="B1658" s="1750"/>
      <c r="C1658" s="3079" t="s">
        <v>841</v>
      </c>
      <c r="D1658" s="2686" t="s">
        <v>857</v>
      </c>
      <c r="E1658" s="2900">
        <v>0</v>
      </c>
      <c r="F1658" s="2790">
        <v>7839</v>
      </c>
      <c r="G1658" s="3056">
        <v>0</v>
      </c>
      <c r="H1658" s="2792">
        <f t="shared" si="107"/>
        <v>0</v>
      </c>
    </row>
    <row r="1659" spans="1:10" ht="54" customHeight="1">
      <c r="A1659" s="1556"/>
      <c r="B1659" s="1750"/>
      <c r="C1659" s="2952" t="s">
        <v>449</v>
      </c>
      <c r="D1659" s="2692" t="s">
        <v>842</v>
      </c>
      <c r="E1659" s="2954">
        <v>28950</v>
      </c>
      <c r="F1659" s="1451">
        <v>4917</v>
      </c>
      <c r="G1659" s="2617">
        <v>0</v>
      </c>
      <c r="H1659" s="1453">
        <f t="shared" si="107"/>
        <v>0</v>
      </c>
      <c r="J1659" s="1370" t="s">
        <v>823</v>
      </c>
    </row>
    <row r="1660" spans="1:10" ht="40.5" customHeight="1">
      <c r="A1660" s="1556"/>
      <c r="B1660" s="1750"/>
      <c r="C1660" s="3061" t="s">
        <v>880</v>
      </c>
      <c r="D1660" s="3103" t="s">
        <v>881</v>
      </c>
      <c r="E1660" s="2900">
        <v>0</v>
      </c>
      <c r="F1660" s="3104">
        <v>12000</v>
      </c>
      <c r="G1660" s="3105">
        <v>0</v>
      </c>
      <c r="H1660" s="2792">
        <f t="shared" si="107"/>
        <v>0</v>
      </c>
    </row>
    <row r="1661" spans="1:10" ht="56.25" customHeight="1">
      <c r="A1661" s="1556"/>
      <c r="B1661" s="1750"/>
      <c r="C1661" s="3081" t="s">
        <v>566</v>
      </c>
      <c r="D1661" s="3106" t="s">
        <v>1160</v>
      </c>
      <c r="E1661" s="2900">
        <v>0</v>
      </c>
      <c r="F1661" s="2790">
        <v>941</v>
      </c>
      <c r="G1661" s="3056">
        <v>0</v>
      </c>
      <c r="H1661" s="2792">
        <f t="shared" si="107"/>
        <v>0</v>
      </c>
    </row>
    <row r="1662" spans="1:10" ht="32.25" customHeight="1" thickBot="1">
      <c r="A1662" s="1797"/>
      <c r="B1662" s="2001"/>
      <c r="C1662" s="2144" t="s">
        <v>567</v>
      </c>
      <c r="D1662" s="3107" t="s">
        <v>978</v>
      </c>
      <c r="E1662" s="1520">
        <v>0</v>
      </c>
      <c r="F1662" s="1521">
        <v>4652</v>
      </c>
      <c r="G1662" s="1522">
        <v>0</v>
      </c>
      <c r="H1662" s="1540">
        <f t="shared" si="107"/>
        <v>0</v>
      </c>
    </row>
    <row r="1663" spans="1:10" ht="17.100000000000001" hidden="1" customHeight="1" thickBot="1">
      <c r="A1663" s="3108" t="s">
        <v>1161</v>
      </c>
      <c r="B1663" s="3108"/>
      <c r="C1663" s="3109"/>
      <c r="D1663" s="3110" t="s">
        <v>1162</v>
      </c>
      <c r="E1663" s="3111">
        <v>0</v>
      </c>
      <c r="F1663" s="1909"/>
      <c r="G1663" s="2474"/>
      <c r="H1663" s="1942" t="e">
        <f t="shared" si="107"/>
        <v>#DIV/0!</v>
      </c>
    </row>
    <row r="1664" spans="1:10" ht="17.100000000000001" hidden="1" customHeight="1" thickBot="1">
      <c r="A1664" s="1556"/>
      <c r="B1664" s="3112" t="s">
        <v>1163</v>
      </c>
      <c r="C1664" s="3113"/>
      <c r="D1664" s="3114" t="s">
        <v>426</v>
      </c>
      <c r="E1664" s="2499">
        <v>0</v>
      </c>
      <c r="F1664" s="2805"/>
      <c r="G1664" s="3070"/>
      <c r="H1664" s="2807" t="e">
        <f t="shared" si="107"/>
        <v>#DIV/0!</v>
      </c>
    </row>
    <row r="1665" spans="1:8" ht="17.100000000000001" hidden="1" customHeight="1" thickBot="1">
      <c r="A1665" s="1556"/>
      <c r="B1665" s="4635"/>
      <c r="C1665" s="4637" t="s">
        <v>688</v>
      </c>
      <c r="D1665" s="4638"/>
      <c r="E1665" s="3115">
        <v>0</v>
      </c>
      <c r="F1665" s="2805"/>
      <c r="G1665" s="3070"/>
      <c r="H1665" s="2807" t="e">
        <f t="shared" si="107"/>
        <v>#DIV/0!</v>
      </c>
    </row>
    <row r="1666" spans="1:8" ht="17.100000000000001" hidden="1" customHeight="1" thickBot="1">
      <c r="A1666" s="1556"/>
      <c r="B1666" s="4619"/>
      <c r="C1666" s="4622" t="s">
        <v>689</v>
      </c>
      <c r="D1666" s="4623"/>
      <c r="E1666" s="2916">
        <v>0</v>
      </c>
      <c r="F1666" s="2805"/>
      <c r="G1666" s="3070"/>
      <c r="H1666" s="2807" t="e">
        <f t="shared" si="107"/>
        <v>#DIV/0!</v>
      </c>
    </row>
    <row r="1667" spans="1:8" ht="17.100000000000001" hidden="1" customHeight="1" thickBot="1">
      <c r="A1667" s="1556"/>
      <c r="B1667" s="4619"/>
      <c r="C1667" s="4624" t="s">
        <v>704</v>
      </c>
      <c r="D1667" s="4625"/>
      <c r="E1667" s="2932">
        <v>0</v>
      </c>
      <c r="F1667" s="2805"/>
      <c r="G1667" s="3070"/>
      <c r="H1667" s="2807" t="e">
        <f t="shared" si="107"/>
        <v>#DIV/0!</v>
      </c>
    </row>
    <row r="1668" spans="1:8" ht="17.100000000000001" hidden="1" customHeight="1" thickBot="1">
      <c r="A1668" s="1556"/>
      <c r="B1668" s="4619"/>
      <c r="C1668" s="3116" t="s">
        <v>717</v>
      </c>
      <c r="D1668" s="3117" t="s">
        <v>718</v>
      </c>
      <c r="E1668" s="2916">
        <v>0</v>
      </c>
      <c r="F1668" s="2805"/>
      <c r="G1668" s="3070"/>
      <c r="H1668" s="2807" t="e">
        <f t="shared" si="107"/>
        <v>#DIV/0!</v>
      </c>
    </row>
    <row r="1669" spans="1:8" ht="17.100000000000001" hidden="1" customHeight="1" thickBot="1">
      <c r="A1669" s="1556"/>
      <c r="B1669" s="4619"/>
      <c r="C1669" s="3116" t="s">
        <v>815</v>
      </c>
      <c r="D1669" s="3117" t="s">
        <v>816</v>
      </c>
      <c r="E1669" s="2916">
        <v>0</v>
      </c>
      <c r="F1669" s="2805"/>
      <c r="G1669" s="3070"/>
      <c r="H1669" s="2807" t="e">
        <f t="shared" si="107"/>
        <v>#DIV/0!</v>
      </c>
    </row>
    <row r="1670" spans="1:8" ht="17.100000000000001" hidden="1" customHeight="1" thickBot="1">
      <c r="A1670" s="1556"/>
      <c r="B1670" s="4619"/>
      <c r="C1670" s="3116"/>
      <c r="D1670" s="3118"/>
      <c r="E1670" s="2916"/>
      <c r="F1670" s="2805"/>
      <c r="G1670" s="3070"/>
      <c r="H1670" s="2807" t="e">
        <f t="shared" si="107"/>
        <v>#DIV/0!</v>
      </c>
    </row>
    <row r="1671" spans="1:8" ht="17.100000000000001" hidden="1" customHeight="1" thickBot="1">
      <c r="A1671" s="1556"/>
      <c r="B1671" s="4619"/>
      <c r="C1671" s="4628" t="s">
        <v>761</v>
      </c>
      <c r="D1671" s="4639"/>
      <c r="E1671" s="2916">
        <v>0</v>
      </c>
      <c r="F1671" s="2805"/>
      <c r="G1671" s="3070"/>
      <c r="H1671" s="2807" t="e">
        <f t="shared" si="107"/>
        <v>#DIV/0!</v>
      </c>
    </row>
    <row r="1672" spans="1:8" ht="17.100000000000001" hidden="1" customHeight="1" thickBot="1">
      <c r="A1672" s="1556"/>
      <c r="B1672" s="4619"/>
      <c r="C1672" s="3119" t="s">
        <v>1164</v>
      </c>
      <c r="D1672" s="3117" t="s">
        <v>1165</v>
      </c>
      <c r="E1672" s="2916">
        <v>0</v>
      </c>
      <c r="F1672" s="2805"/>
      <c r="G1672" s="3070"/>
      <c r="H1672" s="2807" t="e">
        <f t="shared" si="107"/>
        <v>#DIV/0!</v>
      </c>
    </row>
    <row r="1673" spans="1:8" ht="17.100000000000001" hidden="1" customHeight="1" thickBot="1">
      <c r="A1673" s="1556"/>
      <c r="B1673" s="4619"/>
      <c r="C1673" s="3116"/>
      <c r="D1673" s="3118"/>
      <c r="E1673" s="2916"/>
      <c r="F1673" s="2805"/>
      <c r="G1673" s="3070"/>
      <c r="H1673" s="2807" t="e">
        <f t="shared" si="107"/>
        <v>#DIV/0!</v>
      </c>
    </row>
    <row r="1674" spans="1:8" ht="17.100000000000001" hidden="1" customHeight="1" thickBot="1">
      <c r="A1674" s="1556"/>
      <c r="B1674" s="4619"/>
      <c r="C1674" s="4610" t="s">
        <v>1026</v>
      </c>
      <c r="D1674" s="4640"/>
      <c r="E1674" s="2916">
        <v>0</v>
      </c>
      <c r="F1674" s="2805"/>
      <c r="G1674" s="3070"/>
      <c r="H1674" s="2807" t="e">
        <f t="shared" si="107"/>
        <v>#DIV/0!</v>
      </c>
    </row>
    <row r="1675" spans="1:8" ht="17.100000000000001" hidden="1" customHeight="1" thickBot="1">
      <c r="A1675" s="1556"/>
      <c r="B1675" s="4636"/>
      <c r="C1675" s="3120" t="s">
        <v>962</v>
      </c>
      <c r="D1675" s="3121" t="s">
        <v>963</v>
      </c>
      <c r="E1675" s="2811">
        <v>0</v>
      </c>
      <c r="F1675" s="2805"/>
      <c r="G1675" s="3070"/>
      <c r="H1675" s="2807" t="e">
        <f t="shared" si="107"/>
        <v>#DIV/0!</v>
      </c>
    </row>
    <row r="1676" spans="1:8" ht="17.100000000000001" hidden="1" customHeight="1" thickBot="1">
      <c r="A1676" s="1556"/>
      <c r="B1676" s="3112" t="s">
        <v>1166</v>
      </c>
      <c r="C1676" s="3113"/>
      <c r="D1676" s="3114" t="s">
        <v>312</v>
      </c>
      <c r="E1676" s="2499">
        <v>0</v>
      </c>
      <c r="F1676" s="2805"/>
      <c r="G1676" s="3070"/>
      <c r="H1676" s="2807" t="e">
        <f t="shared" si="107"/>
        <v>#DIV/0!</v>
      </c>
    </row>
    <row r="1677" spans="1:8" ht="17.100000000000001" hidden="1" customHeight="1" thickBot="1">
      <c r="A1677" s="1556"/>
      <c r="B1677" s="4619"/>
      <c r="C1677" s="4620" t="s">
        <v>688</v>
      </c>
      <c r="D1677" s="4621"/>
      <c r="E1677" s="2500">
        <v>0</v>
      </c>
      <c r="F1677" s="2805"/>
      <c r="G1677" s="3070"/>
      <c r="H1677" s="2807" t="e">
        <f t="shared" si="107"/>
        <v>#DIV/0!</v>
      </c>
    </row>
    <row r="1678" spans="1:8" ht="17.100000000000001" hidden="1" customHeight="1" thickBot="1">
      <c r="A1678" s="1556"/>
      <c r="B1678" s="4619"/>
      <c r="C1678" s="4622" t="s">
        <v>689</v>
      </c>
      <c r="D1678" s="4623"/>
      <c r="E1678" s="2916">
        <v>0</v>
      </c>
      <c r="F1678" s="2805"/>
      <c r="G1678" s="3070"/>
      <c r="H1678" s="2807" t="e">
        <f t="shared" si="107"/>
        <v>#DIV/0!</v>
      </c>
    </row>
    <row r="1679" spans="1:8" ht="17.100000000000001" hidden="1" customHeight="1" thickBot="1">
      <c r="A1679" s="1556"/>
      <c r="B1679" s="4619"/>
      <c r="C1679" s="4624" t="s">
        <v>704</v>
      </c>
      <c r="D1679" s="4625"/>
      <c r="E1679" s="2932">
        <v>0</v>
      </c>
      <c r="F1679" s="2805"/>
      <c r="G1679" s="3070"/>
      <c r="H1679" s="2807" t="e">
        <f t="shared" si="107"/>
        <v>#DIV/0!</v>
      </c>
    </row>
    <row r="1680" spans="1:8" ht="17.100000000000001" hidden="1" customHeight="1" thickBot="1">
      <c r="A1680" s="1556"/>
      <c r="B1680" s="4619"/>
      <c r="C1680" s="3122" t="s">
        <v>717</v>
      </c>
      <c r="D1680" s="3123" t="s">
        <v>718</v>
      </c>
      <c r="E1680" s="3124">
        <v>0</v>
      </c>
      <c r="F1680" s="2805"/>
      <c r="G1680" s="3070"/>
      <c r="H1680" s="2807" t="e">
        <f t="shared" si="107"/>
        <v>#DIV/0!</v>
      </c>
    </row>
    <row r="1681" spans="1:10" ht="17.100000000000001" hidden="1" customHeight="1" thickBot="1">
      <c r="A1681" s="1556"/>
      <c r="B1681" s="2541"/>
      <c r="C1681" s="4626"/>
      <c r="D1681" s="4627"/>
      <c r="E1681" s="3124"/>
      <c r="F1681" s="2805"/>
      <c r="G1681" s="3070"/>
      <c r="H1681" s="2807" t="e">
        <f t="shared" si="107"/>
        <v>#DIV/0!</v>
      </c>
    </row>
    <row r="1682" spans="1:10" ht="17.100000000000001" hidden="1" customHeight="1" thickBot="1">
      <c r="A1682" s="1556"/>
      <c r="B1682" s="2541"/>
      <c r="C1682" s="4628" t="s">
        <v>1167</v>
      </c>
      <c r="D1682" s="4623"/>
      <c r="E1682" s="2916">
        <v>0</v>
      </c>
      <c r="F1682" s="2805"/>
      <c r="G1682" s="3070"/>
      <c r="H1682" s="2807" t="e">
        <f t="shared" si="107"/>
        <v>#DIV/0!</v>
      </c>
    </row>
    <row r="1683" spans="1:10" ht="39" hidden="1" customHeight="1" thickBot="1">
      <c r="A1683" s="1556"/>
      <c r="B1683" s="2541"/>
      <c r="C1683" s="3125" t="s">
        <v>1168</v>
      </c>
      <c r="D1683" s="3126" t="s">
        <v>1169</v>
      </c>
      <c r="E1683" s="3124">
        <v>0</v>
      </c>
      <c r="F1683" s="2805"/>
      <c r="G1683" s="3070"/>
      <c r="H1683" s="2807" t="e">
        <f t="shared" si="107"/>
        <v>#DIV/0!</v>
      </c>
    </row>
    <row r="1684" spans="1:10" ht="39" hidden="1" customHeight="1" thickBot="1">
      <c r="A1684" s="1556"/>
      <c r="B1684" s="2541"/>
      <c r="C1684" s="3125" t="s">
        <v>1170</v>
      </c>
      <c r="D1684" s="3126" t="s">
        <v>1171</v>
      </c>
      <c r="E1684" s="3124">
        <v>0</v>
      </c>
      <c r="F1684" s="2805"/>
      <c r="G1684" s="3070"/>
      <c r="H1684" s="2807" t="e">
        <f t="shared" si="107"/>
        <v>#DIV/0!</v>
      </c>
    </row>
    <row r="1685" spans="1:10" ht="14.25" hidden="1" customHeight="1" thickBot="1">
      <c r="A1685" s="1556"/>
      <c r="B1685" s="2541"/>
      <c r="C1685" s="2541"/>
      <c r="D1685" s="3126"/>
      <c r="E1685" s="2916"/>
      <c r="F1685" s="2805"/>
      <c r="G1685" s="3070"/>
      <c r="H1685" s="2807" t="e">
        <f t="shared" si="107"/>
        <v>#DIV/0!</v>
      </c>
    </row>
    <row r="1686" spans="1:10" ht="17.25" hidden="1" customHeight="1" thickBot="1">
      <c r="A1686" s="1556"/>
      <c r="B1686" s="2541"/>
      <c r="C1686" s="4608" t="s">
        <v>744</v>
      </c>
      <c r="D1686" s="4609"/>
      <c r="E1686" s="3127">
        <v>0</v>
      </c>
      <c r="F1686" s="2805"/>
      <c r="G1686" s="3070"/>
      <c r="H1686" s="2807" t="e">
        <f t="shared" si="107"/>
        <v>#DIV/0!</v>
      </c>
    </row>
    <row r="1687" spans="1:10" ht="17.25" hidden="1" customHeight="1" thickBot="1">
      <c r="A1687" s="1556"/>
      <c r="B1687" s="2541"/>
      <c r="C1687" s="4610" t="s">
        <v>745</v>
      </c>
      <c r="D1687" s="4611"/>
      <c r="E1687" s="2916">
        <v>0</v>
      </c>
      <c r="F1687" s="2805"/>
      <c r="G1687" s="3070"/>
      <c r="H1687" s="2807" t="e">
        <f t="shared" si="107"/>
        <v>#DIV/0!</v>
      </c>
    </row>
    <row r="1688" spans="1:10" ht="39" hidden="1" customHeight="1" thickBot="1">
      <c r="A1688" s="1556"/>
      <c r="B1688" s="2541"/>
      <c r="C1688" s="3116" t="s">
        <v>973</v>
      </c>
      <c r="D1688" s="3128" t="s">
        <v>974</v>
      </c>
      <c r="E1688" s="2916">
        <v>0</v>
      </c>
      <c r="F1688" s="2805"/>
      <c r="G1688" s="3070"/>
      <c r="H1688" s="2807" t="e">
        <f t="shared" si="107"/>
        <v>#DIV/0!</v>
      </c>
    </row>
    <row r="1689" spans="1:10" ht="42" hidden="1" customHeight="1" thickBot="1">
      <c r="A1689" s="1556"/>
      <c r="B1689" s="2541"/>
      <c r="C1689" s="3129" t="s">
        <v>975</v>
      </c>
      <c r="D1689" s="3130" t="s">
        <v>976</v>
      </c>
      <c r="E1689" s="2916">
        <v>0</v>
      </c>
      <c r="F1689" s="2805"/>
      <c r="G1689" s="3070"/>
      <c r="H1689" s="3071" t="e">
        <f t="shared" si="107"/>
        <v>#DIV/0!</v>
      </c>
    </row>
    <row r="1690" spans="1:10" s="1622" customFormat="1" ht="17.100000000000001" customHeight="1" thickBot="1">
      <c r="A1690" s="1614" t="s">
        <v>1172</v>
      </c>
      <c r="B1690" s="1614"/>
      <c r="C1690" s="1616"/>
      <c r="D1690" s="1617" t="s">
        <v>1173</v>
      </c>
      <c r="E1690" s="1618">
        <f>SUM(E1691,E1711,E1723,E1731,E1739,E1756,E1760,E1774,E1779,E1790)</f>
        <v>117100829</v>
      </c>
      <c r="F1690" s="1619">
        <f>SUM(F1691,F1711,F1723,F1731,F1739,F1756,F1760,F1774,F1779,F1790)</f>
        <v>143088272</v>
      </c>
      <c r="G1690" s="1620">
        <f>SUM(G1691,G1711,G1723,G1731,G1739,G1756,G1760,G1774,G1779,G1790)</f>
        <v>163071038</v>
      </c>
      <c r="H1690" s="1621">
        <f t="shared" si="107"/>
        <v>1.1396534161793497</v>
      </c>
      <c r="J1690" s="1370"/>
    </row>
    <row r="1691" spans="1:10" s="1622" customFormat="1" ht="17.100000000000001" customHeight="1" thickBot="1">
      <c r="A1691" s="1631"/>
      <c r="B1691" s="2623" t="s">
        <v>1174</v>
      </c>
      <c r="C1691" s="1972"/>
      <c r="D1691" s="2624" t="s">
        <v>569</v>
      </c>
      <c r="E1691" s="1627">
        <f>SUM(E1692,E1701)</f>
        <v>83037325</v>
      </c>
      <c r="F1691" s="1628">
        <f>SUM(F1692,F1701)</f>
        <v>90946704</v>
      </c>
      <c r="G1691" s="1629">
        <f>SUM(G1692,G1701)</f>
        <v>122102570</v>
      </c>
      <c r="H1691" s="1630">
        <f t="shared" si="107"/>
        <v>1.3425727885641683</v>
      </c>
      <c r="J1691" s="1370"/>
    </row>
    <row r="1692" spans="1:10" s="1622" customFormat="1" ht="17.100000000000001" customHeight="1">
      <c r="A1692" s="1631"/>
      <c r="B1692" s="3131"/>
      <c r="C1692" s="4612" t="s">
        <v>688</v>
      </c>
      <c r="D1692" s="4613"/>
      <c r="E1692" s="2010">
        <f>SUM(E1697)</f>
        <v>2642880</v>
      </c>
      <c r="F1692" s="1681">
        <f>SUM(F1697)</f>
        <v>987514</v>
      </c>
      <c r="G1692" s="2813">
        <f>SUM(G1697)</f>
        <v>2119261</v>
      </c>
      <c r="H1692" s="1636">
        <f t="shared" si="107"/>
        <v>2.1460566635004668</v>
      </c>
      <c r="J1692" s="1370"/>
    </row>
    <row r="1693" spans="1:10" s="1622" customFormat="1" ht="17.100000000000001" hidden="1" customHeight="1">
      <c r="A1693" s="1631"/>
      <c r="B1693" s="3131"/>
      <c r="C1693" s="4554" t="s">
        <v>689</v>
      </c>
      <c r="D1693" s="4614"/>
      <c r="E1693" s="2423">
        <v>0</v>
      </c>
      <c r="F1693" s="3132">
        <v>0</v>
      </c>
      <c r="G1693" s="3133">
        <v>0</v>
      </c>
      <c r="H1693" s="3134" t="e">
        <f t="shared" si="107"/>
        <v>#DIV/0!</v>
      </c>
      <c r="J1693" s="1370"/>
    </row>
    <row r="1694" spans="1:10" s="1622" customFormat="1" ht="17.100000000000001" hidden="1" customHeight="1">
      <c r="A1694" s="1631"/>
      <c r="B1694" s="3131"/>
      <c r="C1694" s="4615" t="s">
        <v>704</v>
      </c>
      <c r="D1694" s="4616"/>
      <c r="E1694" s="3135">
        <v>0</v>
      </c>
      <c r="F1694" s="2762">
        <v>0</v>
      </c>
      <c r="G1694" s="3136">
        <v>0</v>
      </c>
      <c r="H1694" s="2756" t="e">
        <f t="shared" si="107"/>
        <v>#DIV/0!</v>
      </c>
      <c r="J1694" s="1370"/>
    </row>
    <row r="1695" spans="1:10" s="1622" customFormat="1" ht="27" hidden="1" customHeight="1">
      <c r="A1695" s="1631"/>
      <c r="B1695" s="3131"/>
      <c r="C1695" s="3137" t="s">
        <v>1175</v>
      </c>
      <c r="D1695" s="3138" t="s">
        <v>1176</v>
      </c>
      <c r="E1695" s="2459">
        <v>0</v>
      </c>
      <c r="F1695" s="1859">
        <v>0</v>
      </c>
      <c r="G1695" s="2537">
        <v>0</v>
      </c>
      <c r="H1695" s="3134" t="e">
        <f t="shared" si="107"/>
        <v>#DIV/0!</v>
      </c>
      <c r="J1695" s="1370"/>
    </row>
    <row r="1696" spans="1:10" s="1622" customFormat="1" ht="15.75" hidden="1" customHeight="1">
      <c r="A1696" s="1631"/>
      <c r="B1696" s="3131"/>
      <c r="C1696" s="1631"/>
      <c r="D1696" s="3139"/>
      <c r="E1696" s="2423"/>
      <c r="F1696" s="3132"/>
      <c r="G1696" s="3133"/>
      <c r="H1696" s="3134" t="e">
        <f t="shared" si="107"/>
        <v>#DIV/0!</v>
      </c>
      <c r="J1696" s="1370"/>
    </row>
    <row r="1697" spans="1:10" s="1622" customFormat="1" ht="17.100000000000001" customHeight="1">
      <c r="A1697" s="1631"/>
      <c r="B1697" s="3131"/>
      <c r="C1697" s="4617" t="s">
        <v>1167</v>
      </c>
      <c r="D1697" s="4618"/>
      <c r="E1697" s="3140">
        <f>SUM(E1699)</f>
        <v>2642880</v>
      </c>
      <c r="F1697" s="3141">
        <f>SUM(F1699)</f>
        <v>987514</v>
      </c>
      <c r="G1697" s="3142">
        <f>SUM(G1699)</f>
        <v>2119261</v>
      </c>
      <c r="H1697" s="3134">
        <f t="shared" si="107"/>
        <v>2.1460566635004668</v>
      </c>
      <c r="J1697" s="1370"/>
    </row>
    <row r="1698" spans="1:10" s="1622" customFormat="1" ht="71.25" hidden="1" customHeight="1">
      <c r="A1698" s="1631"/>
      <c r="B1698" s="3131"/>
      <c r="C1698" s="3143" t="s">
        <v>623</v>
      </c>
      <c r="D1698" s="3144" t="s">
        <v>763</v>
      </c>
      <c r="E1698" s="3140">
        <v>0</v>
      </c>
      <c r="F1698" s="3141"/>
      <c r="G1698" s="3145"/>
      <c r="H1698" s="3146" t="e">
        <f t="shared" si="107"/>
        <v>#DIV/0!</v>
      </c>
      <c r="J1698" s="1370"/>
    </row>
    <row r="1699" spans="1:10" s="1622" customFormat="1" ht="39.75" customHeight="1">
      <c r="A1699" s="1653"/>
      <c r="B1699" s="3131"/>
      <c r="C1699" s="3147" t="s">
        <v>1078</v>
      </c>
      <c r="D1699" s="3148" t="s">
        <v>1079</v>
      </c>
      <c r="E1699" s="3149">
        <v>2642880</v>
      </c>
      <c r="F1699" s="3150">
        <v>987514</v>
      </c>
      <c r="G1699" s="3151">
        <v>2119261</v>
      </c>
      <c r="H1699" s="3146">
        <f t="shared" si="107"/>
        <v>2.1460566635004668</v>
      </c>
      <c r="J1699" s="1370" t="s">
        <v>931</v>
      </c>
    </row>
    <row r="1700" spans="1:10" s="1622" customFormat="1" ht="17.100000000000001" customHeight="1">
      <c r="A1700" s="1631"/>
      <c r="B1700" s="3152"/>
      <c r="C1700" s="3153"/>
      <c r="D1700" s="3154"/>
      <c r="E1700" s="3153"/>
      <c r="F1700" s="1859"/>
      <c r="G1700" s="2558"/>
      <c r="H1700" s="1659"/>
      <c r="J1700" s="1370"/>
    </row>
    <row r="1701" spans="1:10" s="1622" customFormat="1" ht="17.100000000000001" customHeight="1">
      <c r="A1701" s="1631"/>
      <c r="B1701" s="3131"/>
      <c r="C1701" s="4600" t="s">
        <v>744</v>
      </c>
      <c r="D1701" s="4601"/>
      <c r="E1701" s="3155">
        <f>SUM(E1702)</f>
        <v>80394445</v>
      </c>
      <c r="F1701" s="3156">
        <f>SUM(F1702)</f>
        <v>89959190</v>
      </c>
      <c r="G1701" s="3157">
        <f>SUM(G1702)</f>
        <v>119983309</v>
      </c>
      <c r="H1701" s="3158">
        <f t="shared" ref="H1701:H1718" si="108">G1701/F1701</f>
        <v>1.3337526605119499</v>
      </c>
      <c r="J1701" s="1370"/>
    </row>
    <row r="1702" spans="1:10" s="1622" customFormat="1" ht="17.100000000000001" customHeight="1">
      <c r="A1702" s="1631"/>
      <c r="B1702" s="3131"/>
      <c r="C1702" s="4602" t="s">
        <v>745</v>
      </c>
      <c r="D1702" s="4603"/>
      <c r="E1702" s="3149">
        <f>SUM(E1704:E1706)</f>
        <v>80394445</v>
      </c>
      <c r="F1702" s="3150">
        <f>SUM(F1703:F1706)</f>
        <v>89959190</v>
      </c>
      <c r="G1702" s="3150">
        <f>SUM(G1703:G1706)</f>
        <v>119983309</v>
      </c>
      <c r="H1702" s="3146">
        <f t="shared" si="108"/>
        <v>1.3337526605119499</v>
      </c>
      <c r="J1702" s="1370"/>
    </row>
    <row r="1703" spans="1:10" s="1622" customFormat="1" ht="29.25" customHeight="1">
      <c r="A1703" s="1631"/>
      <c r="B1703" s="3131"/>
      <c r="C1703" s="3159" t="s">
        <v>872</v>
      </c>
      <c r="D1703" s="3160" t="s">
        <v>873</v>
      </c>
      <c r="E1703" s="3140"/>
      <c r="F1703" s="3141">
        <v>0</v>
      </c>
      <c r="G1703" s="3161">
        <v>0</v>
      </c>
      <c r="H1703" s="3134"/>
      <c r="J1703" s="1370" t="s">
        <v>931</v>
      </c>
    </row>
    <row r="1704" spans="1:10" s="1622" customFormat="1" ht="52.5" customHeight="1">
      <c r="A1704" s="1631"/>
      <c r="B1704" s="3162"/>
      <c r="C1704" s="3163" t="s">
        <v>841</v>
      </c>
      <c r="D1704" s="3164" t="s">
        <v>857</v>
      </c>
      <c r="E1704" s="3140">
        <v>6435646</v>
      </c>
      <c r="F1704" s="3141">
        <v>6135339</v>
      </c>
      <c r="G1704" s="3165">
        <v>11191126</v>
      </c>
      <c r="H1704" s="3134">
        <f t="shared" si="108"/>
        <v>1.8240436266031919</v>
      </c>
      <c r="J1704" s="1370" t="s">
        <v>823</v>
      </c>
    </row>
    <row r="1705" spans="1:10" s="1622" customFormat="1" ht="41.25" customHeight="1">
      <c r="A1705" s="1631"/>
      <c r="B1705" s="3162"/>
      <c r="C1705" s="3166" t="s">
        <v>973</v>
      </c>
      <c r="D1705" s="3167" t="s">
        <v>974</v>
      </c>
      <c r="E1705" s="3135">
        <v>73958799</v>
      </c>
      <c r="F1705" s="2762">
        <v>82930882</v>
      </c>
      <c r="G1705" s="3168">
        <v>108792183</v>
      </c>
      <c r="H1705" s="2756">
        <f t="shared" si="108"/>
        <v>1.311841624932917</v>
      </c>
      <c r="J1705" s="1370" t="s">
        <v>931</v>
      </c>
    </row>
    <row r="1706" spans="1:10" s="1622" customFormat="1" ht="33.75" customHeight="1" thickBot="1">
      <c r="A1706" s="1631"/>
      <c r="B1706" s="3169"/>
      <c r="C1706" s="1664" t="s">
        <v>567</v>
      </c>
      <c r="D1706" s="2447" t="s">
        <v>978</v>
      </c>
      <c r="E1706" s="3135">
        <v>0</v>
      </c>
      <c r="F1706" s="2762">
        <v>892969</v>
      </c>
      <c r="G1706" s="3168">
        <v>0</v>
      </c>
      <c r="H1706" s="2756">
        <f t="shared" si="108"/>
        <v>0</v>
      </c>
      <c r="J1706" s="1370"/>
    </row>
    <row r="1707" spans="1:10" ht="15" hidden="1" customHeight="1" thickBot="1">
      <c r="A1707" s="1556"/>
      <c r="B1707" s="2496" t="s">
        <v>1177</v>
      </c>
      <c r="C1707" s="2497"/>
      <c r="D1707" s="2498" t="s">
        <v>1178</v>
      </c>
      <c r="E1707" s="2499">
        <v>0</v>
      </c>
      <c r="F1707" s="2805"/>
      <c r="G1707" s="3070"/>
      <c r="H1707" s="2807" t="e">
        <f t="shared" si="108"/>
        <v>#DIV/0!</v>
      </c>
    </row>
    <row r="1708" spans="1:10" ht="18.75" hidden="1" customHeight="1" thickBot="1">
      <c r="A1708" s="1556"/>
      <c r="B1708" s="3170"/>
      <c r="C1708" s="4604" t="s">
        <v>744</v>
      </c>
      <c r="D1708" s="4605"/>
      <c r="E1708" s="2916">
        <v>0</v>
      </c>
      <c r="F1708" s="2805"/>
      <c r="G1708" s="3070"/>
      <c r="H1708" s="2807" t="e">
        <f t="shared" si="108"/>
        <v>#DIV/0!</v>
      </c>
    </row>
    <row r="1709" spans="1:10" ht="15.75" hidden="1" customHeight="1" thickBot="1">
      <c r="A1709" s="1556"/>
      <c r="B1709" s="3170"/>
      <c r="C1709" s="4606" t="s">
        <v>892</v>
      </c>
      <c r="D1709" s="4607"/>
      <c r="E1709" s="2916">
        <v>0</v>
      </c>
      <c r="F1709" s="2805"/>
      <c r="G1709" s="3070"/>
      <c r="H1709" s="2807" t="e">
        <f t="shared" si="108"/>
        <v>#DIV/0!</v>
      </c>
    </row>
    <row r="1710" spans="1:10" ht="39.75" hidden="1" customHeight="1" thickBot="1">
      <c r="A1710" s="1556"/>
      <c r="B1710" s="3170"/>
      <c r="C1710" s="3171" t="s">
        <v>893</v>
      </c>
      <c r="D1710" s="3172" t="s">
        <v>894</v>
      </c>
      <c r="E1710" s="3124">
        <v>0</v>
      </c>
      <c r="F1710" s="2805"/>
      <c r="G1710" s="3070"/>
      <c r="H1710" s="3071" t="e">
        <f t="shared" si="108"/>
        <v>#DIV/0!</v>
      </c>
    </row>
    <row r="1711" spans="1:10" s="1622" customFormat="1" ht="15" customHeight="1" thickBot="1">
      <c r="A1711" s="1631"/>
      <c r="B1711" s="3173" t="s">
        <v>1179</v>
      </c>
      <c r="C1711" s="3174"/>
      <c r="D1711" s="3175" t="s">
        <v>1180</v>
      </c>
      <c r="E1711" s="1627">
        <f>SUM(E1712,E1720)</f>
        <v>6340245</v>
      </c>
      <c r="F1711" s="1628">
        <f>SUM(F1712,F1720)</f>
        <v>9978061</v>
      </c>
      <c r="G1711" s="1629">
        <f>SUM(G1712,G1720)</f>
        <v>10896205</v>
      </c>
      <c r="H1711" s="1630">
        <f t="shared" si="108"/>
        <v>1.0920162745046358</v>
      </c>
      <c r="J1711" s="1370" t="s">
        <v>931</v>
      </c>
    </row>
    <row r="1712" spans="1:10" s="1622" customFormat="1" ht="15">
      <c r="A1712" s="1631"/>
      <c r="B1712" s="1637"/>
      <c r="C1712" s="4597" t="s">
        <v>688</v>
      </c>
      <c r="D1712" s="4437"/>
      <c r="E1712" s="3176">
        <f>SUM(E1717)</f>
        <v>30000</v>
      </c>
      <c r="F1712" s="3177">
        <f>SUM(F1717)</f>
        <v>30000</v>
      </c>
      <c r="G1712" s="3178">
        <f>SUM(G1717)</f>
        <v>149808</v>
      </c>
      <c r="H1712" s="1636">
        <f t="shared" si="108"/>
        <v>4.9935999999999998</v>
      </c>
      <c r="J1712" s="1370"/>
    </row>
    <row r="1713" spans="1:10" s="1622" customFormat="1" ht="12.75" hidden="1" customHeight="1" thickBot="1">
      <c r="A1713" s="1631"/>
      <c r="B1713" s="1637"/>
      <c r="C1713" s="4546" t="s">
        <v>689</v>
      </c>
      <c r="D1713" s="4546"/>
      <c r="E1713" s="2770">
        <v>0</v>
      </c>
      <c r="F1713" s="2771">
        <v>0</v>
      </c>
      <c r="G1713" s="2772">
        <v>0</v>
      </c>
      <c r="H1713" s="2756" t="e">
        <f t="shared" si="108"/>
        <v>#DIV/0!</v>
      </c>
      <c r="J1713" s="1370"/>
    </row>
    <row r="1714" spans="1:10" s="1622" customFormat="1" ht="12.75" hidden="1" customHeight="1">
      <c r="A1714" s="1631"/>
      <c r="B1714" s="1637"/>
      <c r="C1714" s="4573" t="s">
        <v>704</v>
      </c>
      <c r="D1714" s="4573"/>
      <c r="E1714" s="2770">
        <v>0</v>
      </c>
      <c r="F1714" s="2771">
        <v>0</v>
      </c>
      <c r="G1714" s="2772">
        <v>0</v>
      </c>
      <c r="H1714" s="2756" t="e">
        <f t="shared" si="108"/>
        <v>#DIV/0!</v>
      </c>
      <c r="J1714" s="1370"/>
    </row>
    <row r="1715" spans="1:10" s="1622" customFormat="1" ht="25.5" hidden="1" customHeight="1">
      <c r="A1715" s="1631"/>
      <c r="B1715" s="1637"/>
      <c r="C1715" s="3137" t="s">
        <v>1175</v>
      </c>
      <c r="D1715" s="2484" t="s">
        <v>1176</v>
      </c>
      <c r="E1715" s="2770">
        <v>0</v>
      </c>
      <c r="F1715" s="2771">
        <v>0</v>
      </c>
      <c r="G1715" s="2772">
        <v>0</v>
      </c>
      <c r="H1715" s="2756" t="e">
        <f t="shared" si="108"/>
        <v>#DIV/0!</v>
      </c>
      <c r="J1715" s="1370"/>
    </row>
    <row r="1716" spans="1:10" s="1622" customFormat="1" ht="15" hidden="1" customHeight="1">
      <c r="A1716" s="1631"/>
      <c r="B1716" s="1637"/>
      <c r="C1716" s="3179"/>
      <c r="D1716" s="3180"/>
      <c r="E1716" s="3176"/>
      <c r="F1716" s="3177"/>
      <c r="G1716" s="3178"/>
      <c r="H1716" s="2756" t="e">
        <f t="shared" si="108"/>
        <v>#DIV/0!</v>
      </c>
      <c r="J1716" s="1370"/>
    </row>
    <row r="1717" spans="1:10" s="1622" customFormat="1" ht="15">
      <c r="A1717" s="1631"/>
      <c r="B1717" s="1637"/>
      <c r="C1717" s="4598" t="s">
        <v>1167</v>
      </c>
      <c r="D1717" s="4599"/>
      <c r="E1717" s="3181">
        <f>SUM(E1718)</f>
        <v>30000</v>
      </c>
      <c r="F1717" s="3182">
        <f>SUM(F1718)</f>
        <v>30000</v>
      </c>
      <c r="G1717" s="3183">
        <f>SUM(G1718)</f>
        <v>149808</v>
      </c>
      <c r="H1717" s="2756">
        <f t="shared" si="108"/>
        <v>4.9935999999999998</v>
      </c>
      <c r="J1717" s="1370"/>
    </row>
    <row r="1718" spans="1:10" s="1622" customFormat="1" ht="41.25" customHeight="1">
      <c r="A1718" s="1631"/>
      <c r="B1718" s="1637"/>
      <c r="C1718" s="3184" t="s">
        <v>1078</v>
      </c>
      <c r="D1718" s="3185" t="s">
        <v>1079</v>
      </c>
      <c r="E1718" s="3181">
        <v>30000</v>
      </c>
      <c r="F1718" s="2762">
        <v>30000</v>
      </c>
      <c r="G1718" s="3168">
        <v>149808</v>
      </c>
      <c r="H1718" s="2756">
        <f t="shared" si="108"/>
        <v>4.9935999999999998</v>
      </c>
      <c r="J1718" s="1370"/>
    </row>
    <row r="1719" spans="1:10" s="1622" customFormat="1" ht="15">
      <c r="A1719" s="1653"/>
      <c r="B1719" s="1637"/>
      <c r="C1719" s="3186"/>
      <c r="D1719" s="2486"/>
      <c r="E1719" s="2487"/>
      <c r="F1719" s="2762"/>
      <c r="G1719" s="3168"/>
      <c r="H1719" s="2756"/>
      <c r="J1719" s="1370"/>
    </row>
    <row r="1720" spans="1:10" s="1622" customFormat="1" ht="12.75" customHeight="1">
      <c r="A1720" s="1653"/>
      <c r="B1720" s="1637"/>
      <c r="C1720" s="4442" t="s">
        <v>744</v>
      </c>
      <c r="D1720" s="4442"/>
      <c r="E1720" s="2506">
        <f t="shared" ref="E1720:G1721" si="109">SUM(E1721)</f>
        <v>6310245</v>
      </c>
      <c r="F1720" s="1634">
        <f t="shared" si="109"/>
        <v>9948061</v>
      </c>
      <c r="G1720" s="2507">
        <f t="shared" si="109"/>
        <v>10746397</v>
      </c>
      <c r="H1720" s="1636">
        <f t="shared" ref="H1720:H1726" si="110">G1720/F1720</f>
        <v>1.0802504126180972</v>
      </c>
      <c r="J1720" s="1370"/>
    </row>
    <row r="1721" spans="1:10" s="1622" customFormat="1" ht="12.75" customHeight="1">
      <c r="A1721" s="1631"/>
      <c r="B1721" s="1637"/>
      <c r="C1721" s="4549" t="s">
        <v>745</v>
      </c>
      <c r="D1721" s="4549"/>
      <c r="E1721" s="3187">
        <f t="shared" si="109"/>
        <v>6310245</v>
      </c>
      <c r="F1721" s="3188">
        <f t="shared" si="109"/>
        <v>9948061</v>
      </c>
      <c r="G1721" s="3189">
        <f t="shared" si="109"/>
        <v>10746397</v>
      </c>
      <c r="H1721" s="2756">
        <f t="shared" si="110"/>
        <v>1.0802504126180972</v>
      </c>
      <c r="J1721" s="1370"/>
    </row>
    <row r="1722" spans="1:10" s="1622" customFormat="1" ht="42.75" customHeight="1" thickBot="1">
      <c r="A1722" s="1673"/>
      <c r="B1722" s="3190"/>
      <c r="C1722" s="2510" t="s">
        <v>973</v>
      </c>
      <c r="D1722" s="3191" t="s">
        <v>974</v>
      </c>
      <c r="E1722" s="2780">
        <v>6310245</v>
      </c>
      <c r="F1722" s="1676">
        <v>9948061</v>
      </c>
      <c r="G1722" s="2781">
        <v>10746397</v>
      </c>
      <c r="H1722" s="1678">
        <f t="shared" si="110"/>
        <v>1.0802504126180972</v>
      </c>
      <c r="J1722" s="1370"/>
    </row>
    <row r="1723" spans="1:10" s="1622" customFormat="1" ht="17.100000000000001" customHeight="1" thickBot="1">
      <c r="A1723" s="1623"/>
      <c r="B1723" s="3192" t="s">
        <v>1181</v>
      </c>
      <c r="C1723" s="1625"/>
      <c r="D1723" s="1626" t="s">
        <v>1182</v>
      </c>
      <c r="E1723" s="1627">
        <f>SUM(E1724,E1728)</f>
        <v>3408973</v>
      </c>
      <c r="F1723" s="1628">
        <f>SUM(F1724,F1728)</f>
        <v>3835098</v>
      </c>
      <c r="G1723" s="1629">
        <f>SUM(G1724,G1728)</f>
        <v>3687015</v>
      </c>
      <c r="H1723" s="1630">
        <f t="shared" si="110"/>
        <v>0.96138742738777472</v>
      </c>
      <c r="J1723" s="1370" t="s">
        <v>931</v>
      </c>
    </row>
    <row r="1724" spans="1:10" s="1622" customFormat="1" ht="15">
      <c r="A1724" s="1631"/>
      <c r="B1724" s="3169"/>
      <c r="C1724" s="4597" t="s">
        <v>688</v>
      </c>
      <c r="D1724" s="4437"/>
      <c r="E1724" s="3176">
        <f t="shared" ref="E1724:G1725" si="111">SUM(E1725)</f>
        <v>550000</v>
      </c>
      <c r="F1724" s="3177">
        <f t="shared" si="111"/>
        <v>550000</v>
      </c>
      <c r="G1724" s="3178">
        <f t="shared" si="111"/>
        <v>550000</v>
      </c>
      <c r="H1724" s="1636">
        <f t="shared" si="110"/>
        <v>1</v>
      </c>
      <c r="J1724" s="1370"/>
    </row>
    <row r="1725" spans="1:10" s="1622" customFormat="1" ht="15">
      <c r="A1725" s="1631"/>
      <c r="B1725" s="3169"/>
      <c r="C1725" s="4598" t="s">
        <v>1167</v>
      </c>
      <c r="D1725" s="4599"/>
      <c r="E1725" s="3181">
        <f t="shared" si="111"/>
        <v>550000</v>
      </c>
      <c r="F1725" s="3182">
        <f t="shared" si="111"/>
        <v>550000</v>
      </c>
      <c r="G1725" s="3183">
        <f t="shared" si="111"/>
        <v>550000</v>
      </c>
      <c r="H1725" s="2756">
        <f t="shared" si="110"/>
        <v>1</v>
      </c>
      <c r="J1725" s="1370"/>
    </row>
    <row r="1726" spans="1:10" s="1622" customFormat="1" ht="39.75" customHeight="1">
      <c r="A1726" s="1631"/>
      <c r="B1726" s="3169"/>
      <c r="C1726" s="3184" t="s">
        <v>1078</v>
      </c>
      <c r="D1726" s="3185" t="s">
        <v>1079</v>
      </c>
      <c r="E1726" s="3181">
        <v>550000</v>
      </c>
      <c r="F1726" s="2762">
        <v>550000</v>
      </c>
      <c r="G1726" s="3168">
        <v>550000</v>
      </c>
      <c r="H1726" s="2756">
        <f t="shared" si="110"/>
        <v>1</v>
      </c>
      <c r="J1726" s="1370"/>
    </row>
    <row r="1727" spans="1:10" ht="15">
      <c r="A1727" s="1556"/>
      <c r="B1727" s="3170"/>
      <c r="C1727" s="3193"/>
      <c r="D1727" s="3194"/>
      <c r="E1727" s="3195"/>
      <c r="F1727" s="2805"/>
      <c r="G1727" s="3196"/>
      <c r="H1727" s="2807"/>
    </row>
    <row r="1728" spans="1:10" s="1622" customFormat="1">
      <c r="A1728" s="1631"/>
      <c r="B1728" s="4416"/>
      <c r="C1728" s="4595" t="s">
        <v>744</v>
      </c>
      <c r="D1728" s="4596"/>
      <c r="E1728" s="2506">
        <f t="shared" ref="E1728:G1729" si="112">SUM(E1729)</f>
        <v>2858973</v>
      </c>
      <c r="F1728" s="1634">
        <f t="shared" si="112"/>
        <v>3285098</v>
      </c>
      <c r="G1728" s="2507">
        <f t="shared" si="112"/>
        <v>3137015</v>
      </c>
      <c r="H1728" s="3158">
        <f t="shared" ref="H1728:H1743" si="113">G1728/F1728</f>
        <v>0.95492280595586498</v>
      </c>
      <c r="J1728" s="1370"/>
    </row>
    <row r="1729" spans="1:10" s="1622" customFormat="1">
      <c r="A1729" s="1631"/>
      <c r="B1729" s="4416"/>
      <c r="C1729" s="4558" t="s">
        <v>745</v>
      </c>
      <c r="D1729" s="4558"/>
      <c r="E1729" s="3187">
        <f t="shared" si="112"/>
        <v>2858973</v>
      </c>
      <c r="F1729" s="3188">
        <f t="shared" si="112"/>
        <v>3285098</v>
      </c>
      <c r="G1729" s="3189">
        <f t="shared" si="112"/>
        <v>3137015</v>
      </c>
      <c r="H1729" s="2756">
        <f t="shared" si="113"/>
        <v>0.95492280595586498</v>
      </c>
      <c r="J1729" s="1370"/>
    </row>
    <row r="1730" spans="1:10" s="1622" customFormat="1" ht="42.75" customHeight="1" thickBot="1">
      <c r="A1730" s="1653"/>
      <c r="B1730" s="4439"/>
      <c r="C1730" s="3197" t="s">
        <v>973</v>
      </c>
      <c r="D1730" s="3198" t="s">
        <v>974</v>
      </c>
      <c r="E1730" s="2780">
        <v>2858973</v>
      </c>
      <c r="F1730" s="1676">
        <v>3285098</v>
      </c>
      <c r="G1730" s="2781">
        <v>3137015</v>
      </c>
      <c r="H1730" s="1678">
        <f t="shared" si="113"/>
        <v>0.95492280595586498</v>
      </c>
      <c r="J1730" s="1370"/>
    </row>
    <row r="1731" spans="1:10" s="1622" customFormat="1" ht="18" customHeight="1" thickBot="1">
      <c r="A1731" s="1631"/>
      <c r="B1731" s="2513" t="s">
        <v>1183</v>
      </c>
      <c r="C1731" s="2514"/>
      <c r="D1731" s="2515" t="s">
        <v>576</v>
      </c>
      <c r="E1731" s="2516">
        <f>SUM(E1736)</f>
        <v>783954</v>
      </c>
      <c r="F1731" s="2517">
        <f>SUM(F1736)</f>
        <v>783954</v>
      </c>
      <c r="G1731" s="2518">
        <f>SUM(G1736)</f>
        <v>2952636</v>
      </c>
      <c r="H1731" s="2519">
        <f t="shared" si="113"/>
        <v>3.7663383310755476</v>
      </c>
      <c r="J1731" s="1370" t="s">
        <v>931</v>
      </c>
    </row>
    <row r="1732" spans="1:10" s="1622" customFormat="1" ht="15" hidden="1">
      <c r="A1732" s="1631"/>
      <c r="B1732" s="1983"/>
      <c r="C1732" s="4597" t="s">
        <v>688</v>
      </c>
      <c r="D1732" s="4437"/>
      <c r="E1732" s="3176">
        <v>0</v>
      </c>
      <c r="F1732" s="3177">
        <v>0</v>
      </c>
      <c r="G1732" s="3178">
        <v>0</v>
      </c>
      <c r="H1732" s="1636" t="e">
        <f t="shared" si="113"/>
        <v>#DIV/0!</v>
      </c>
      <c r="J1732" s="1370"/>
    </row>
    <row r="1733" spans="1:10" s="1622" customFormat="1" ht="15" hidden="1">
      <c r="A1733" s="1631"/>
      <c r="B1733" s="1983"/>
      <c r="C1733" s="4598" t="s">
        <v>1167</v>
      </c>
      <c r="D1733" s="4599"/>
      <c r="E1733" s="3181">
        <v>0</v>
      </c>
      <c r="F1733" s="3182">
        <v>0</v>
      </c>
      <c r="G1733" s="3183">
        <v>0</v>
      </c>
      <c r="H1733" s="2782" t="e">
        <f t="shared" si="113"/>
        <v>#DIV/0!</v>
      </c>
      <c r="J1733" s="1370"/>
    </row>
    <row r="1734" spans="1:10" s="1622" customFormat="1" ht="33.75" hidden="1" customHeight="1">
      <c r="A1734" s="1631"/>
      <c r="B1734" s="1983"/>
      <c r="C1734" s="3184" t="s">
        <v>1078</v>
      </c>
      <c r="D1734" s="3185" t="s">
        <v>1184</v>
      </c>
      <c r="E1734" s="3181">
        <v>0</v>
      </c>
      <c r="F1734" s="3182">
        <v>0</v>
      </c>
      <c r="G1734" s="3183">
        <v>0</v>
      </c>
      <c r="H1734" s="2782" t="e">
        <f t="shared" si="113"/>
        <v>#DIV/0!</v>
      </c>
      <c r="J1734" s="1370"/>
    </row>
    <row r="1735" spans="1:10" s="1622" customFormat="1" ht="15" hidden="1">
      <c r="A1735" s="1631"/>
      <c r="B1735" s="1983"/>
      <c r="C1735" s="4597"/>
      <c r="D1735" s="4437"/>
      <c r="E1735" s="3176"/>
      <c r="F1735" s="3177"/>
      <c r="G1735" s="3178"/>
      <c r="H1735" s="2782" t="e">
        <f t="shared" si="113"/>
        <v>#DIV/0!</v>
      </c>
      <c r="J1735" s="1370"/>
    </row>
    <row r="1736" spans="1:10" s="1622" customFormat="1" ht="14.25" customHeight="1">
      <c r="A1736" s="1631"/>
      <c r="B1736" s="4593"/>
      <c r="C1736" s="4442" t="s">
        <v>744</v>
      </c>
      <c r="D1736" s="4442"/>
      <c r="E1736" s="2506">
        <f t="shared" ref="E1736:G1737" si="114">SUM(E1737)</f>
        <v>783954</v>
      </c>
      <c r="F1736" s="1634">
        <f t="shared" si="114"/>
        <v>783954</v>
      </c>
      <c r="G1736" s="2507">
        <f t="shared" si="114"/>
        <v>2952636</v>
      </c>
      <c r="H1736" s="2782">
        <f t="shared" si="113"/>
        <v>3.7663383310755476</v>
      </c>
      <c r="J1736" s="1370"/>
    </row>
    <row r="1737" spans="1:10" s="1622" customFormat="1" ht="15.75" customHeight="1">
      <c r="A1737" s="1631"/>
      <c r="B1737" s="4593"/>
      <c r="C1737" s="4430" t="s">
        <v>745</v>
      </c>
      <c r="D1737" s="4436"/>
      <c r="E1737" s="3135">
        <f t="shared" si="114"/>
        <v>783954</v>
      </c>
      <c r="F1737" s="2762">
        <f t="shared" si="114"/>
        <v>783954</v>
      </c>
      <c r="G1737" s="3136">
        <f t="shared" si="114"/>
        <v>2952636</v>
      </c>
      <c r="H1737" s="2756">
        <f t="shared" si="113"/>
        <v>3.7663383310755476</v>
      </c>
      <c r="J1737" s="1370"/>
    </row>
    <row r="1738" spans="1:10" s="1622" customFormat="1" ht="45" customHeight="1" thickBot="1">
      <c r="A1738" s="1631"/>
      <c r="B1738" s="4593"/>
      <c r="C1738" s="3199" t="s">
        <v>973</v>
      </c>
      <c r="D1738" s="3200" t="s">
        <v>974</v>
      </c>
      <c r="E1738" s="3187">
        <v>783954</v>
      </c>
      <c r="F1738" s="2762">
        <v>783954</v>
      </c>
      <c r="G1738" s="3168">
        <v>2952636</v>
      </c>
      <c r="H1738" s="3201">
        <f t="shared" si="113"/>
        <v>3.7663383310755476</v>
      </c>
      <c r="J1738" s="1370"/>
    </row>
    <row r="1739" spans="1:10" s="1622" customFormat="1" ht="17.100000000000001" customHeight="1" thickBot="1">
      <c r="A1739" s="1631"/>
      <c r="B1739" s="1624" t="s">
        <v>1185</v>
      </c>
      <c r="C1739" s="1625"/>
      <c r="D1739" s="1626" t="s">
        <v>579</v>
      </c>
      <c r="E1739" s="1627">
        <f>SUM(E1740,E1748)</f>
        <v>3022407</v>
      </c>
      <c r="F1739" s="1628">
        <f>SUM(F1740,F1748)</f>
        <v>3419857</v>
      </c>
      <c r="G1739" s="1629">
        <f>SUM(G1740,G1748)</f>
        <v>4172331</v>
      </c>
      <c r="H1739" s="1630">
        <f t="shared" si="113"/>
        <v>1.2200308375467162</v>
      </c>
      <c r="J1739" s="1370" t="s">
        <v>931</v>
      </c>
    </row>
    <row r="1740" spans="1:10" s="1622" customFormat="1" ht="17.100000000000001" customHeight="1">
      <c r="A1740" s="1631"/>
      <c r="B1740" s="1653"/>
      <c r="C1740" s="4426" t="s">
        <v>688</v>
      </c>
      <c r="D1740" s="4426"/>
      <c r="E1740" s="2506">
        <f>SUM(E1741,E1745)</f>
        <v>3002607</v>
      </c>
      <c r="F1740" s="1634">
        <f>SUM(F1741,F1745)</f>
        <v>3400057</v>
      </c>
      <c r="G1740" s="2507">
        <f>SUM(G1741,G1745)</f>
        <v>4057000</v>
      </c>
      <c r="H1740" s="1636">
        <f t="shared" si="113"/>
        <v>1.1932152902142523</v>
      </c>
      <c r="J1740" s="1370"/>
    </row>
    <row r="1741" spans="1:10" s="1622" customFormat="1" ht="17.100000000000001" customHeight="1">
      <c r="A1741" s="1631"/>
      <c r="B1741" s="1653"/>
      <c r="C1741" s="4546" t="s">
        <v>689</v>
      </c>
      <c r="D1741" s="4546"/>
      <c r="E1741" s="3135">
        <f t="shared" ref="E1741:G1742" si="115">SUM(E1742)</f>
        <v>1900057</v>
      </c>
      <c r="F1741" s="2762">
        <f t="shared" si="115"/>
        <v>1900057</v>
      </c>
      <c r="G1741" s="3136">
        <f t="shared" si="115"/>
        <v>2457000</v>
      </c>
      <c r="H1741" s="2756">
        <f t="shared" si="113"/>
        <v>1.2931191011638072</v>
      </c>
      <c r="J1741" s="1370"/>
    </row>
    <row r="1742" spans="1:10" s="1622" customFormat="1" ht="17.100000000000001" customHeight="1">
      <c r="A1742" s="1631"/>
      <c r="B1742" s="4594"/>
      <c r="C1742" s="4573" t="s">
        <v>704</v>
      </c>
      <c r="D1742" s="4573"/>
      <c r="E1742" s="3202">
        <f t="shared" si="115"/>
        <v>1900057</v>
      </c>
      <c r="F1742" s="3203">
        <f t="shared" si="115"/>
        <v>1900057</v>
      </c>
      <c r="G1742" s="3204">
        <f t="shared" si="115"/>
        <v>2457000</v>
      </c>
      <c r="H1742" s="2756">
        <f t="shared" si="113"/>
        <v>1.2931191011638072</v>
      </c>
      <c r="J1742" s="1370"/>
    </row>
    <row r="1743" spans="1:10" s="1622" customFormat="1" ht="17.100000000000001" customHeight="1">
      <c r="A1743" s="1631"/>
      <c r="B1743" s="4594"/>
      <c r="C1743" s="3205" t="s">
        <v>715</v>
      </c>
      <c r="D1743" s="3206" t="s">
        <v>716</v>
      </c>
      <c r="E1743" s="3135">
        <v>1900057</v>
      </c>
      <c r="F1743" s="2762">
        <v>1900057</v>
      </c>
      <c r="G1743" s="3168">
        <v>2457000</v>
      </c>
      <c r="H1743" s="2756">
        <f t="shared" si="113"/>
        <v>1.2931191011638072</v>
      </c>
      <c r="J1743" s="1370"/>
    </row>
    <row r="1744" spans="1:10" s="1622" customFormat="1" ht="13.5" customHeight="1">
      <c r="A1744" s="1631"/>
      <c r="B1744" s="4594"/>
      <c r="C1744" s="1865"/>
      <c r="D1744" s="1865"/>
      <c r="E1744" s="1866"/>
      <c r="F1744" s="2762"/>
      <c r="G1744" s="3168"/>
      <c r="H1744" s="2756"/>
      <c r="J1744" s="1370"/>
    </row>
    <row r="1745" spans="1:10" s="1622" customFormat="1" ht="17.100000000000001" customHeight="1">
      <c r="A1745" s="1631"/>
      <c r="B1745" s="4594"/>
      <c r="C1745" s="4558" t="s">
        <v>797</v>
      </c>
      <c r="D1745" s="4558"/>
      <c r="E1745" s="3135">
        <f>SUM(E1746)</f>
        <v>1102550</v>
      </c>
      <c r="F1745" s="2762">
        <f>SUM(F1746)</f>
        <v>1500000</v>
      </c>
      <c r="G1745" s="3136">
        <f>SUM(G1746)</f>
        <v>1600000</v>
      </c>
      <c r="H1745" s="2756">
        <f>G1745/F1745</f>
        <v>1.0666666666666667</v>
      </c>
      <c r="J1745" s="1370"/>
    </row>
    <row r="1746" spans="1:10" s="1622" customFormat="1" ht="42" customHeight="1">
      <c r="A1746" s="1631"/>
      <c r="B1746" s="4594"/>
      <c r="C1746" s="3205" t="s">
        <v>1078</v>
      </c>
      <c r="D1746" s="3206" t="s">
        <v>1079</v>
      </c>
      <c r="E1746" s="3135">
        <v>1102550</v>
      </c>
      <c r="F1746" s="2762">
        <v>1500000</v>
      </c>
      <c r="G1746" s="3168">
        <v>1600000</v>
      </c>
      <c r="H1746" s="2756">
        <f>G1746/F1746</f>
        <v>1.0666666666666667</v>
      </c>
      <c r="J1746" s="1370"/>
    </row>
    <row r="1747" spans="1:10" s="1622" customFormat="1" ht="12.75" customHeight="1">
      <c r="A1747" s="1631"/>
      <c r="B1747" s="1653"/>
      <c r="C1747" s="3207"/>
      <c r="D1747" s="3208"/>
      <c r="E1747" s="2459"/>
      <c r="F1747" s="2762"/>
      <c r="G1747" s="3168"/>
      <c r="H1747" s="2756"/>
      <c r="J1747" s="1370"/>
    </row>
    <row r="1748" spans="1:10" s="1622" customFormat="1" ht="14.25" customHeight="1">
      <c r="A1748" s="1631"/>
      <c r="B1748" s="1653"/>
      <c r="C1748" s="4442" t="s">
        <v>744</v>
      </c>
      <c r="D1748" s="4442"/>
      <c r="E1748" s="2506">
        <f t="shared" ref="E1748:G1749" si="116">SUM(E1749)</f>
        <v>19800</v>
      </c>
      <c r="F1748" s="1634">
        <f t="shared" si="116"/>
        <v>19800</v>
      </c>
      <c r="G1748" s="2507">
        <f t="shared" si="116"/>
        <v>115331</v>
      </c>
      <c r="H1748" s="2782">
        <f t="shared" ref="H1748:H1766" si="117">G1748/F1748</f>
        <v>5.8247979797979799</v>
      </c>
      <c r="J1748" s="1370"/>
    </row>
    <row r="1749" spans="1:10" s="1622" customFormat="1" ht="18" customHeight="1">
      <c r="A1749" s="1631"/>
      <c r="B1749" s="1653"/>
      <c r="C1749" s="4430" t="s">
        <v>745</v>
      </c>
      <c r="D1749" s="4436"/>
      <c r="E1749" s="3135">
        <f t="shared" si="116"/>
        <v>19800</v>
      </c>
      <c r="F1749" s="2762">
        <f t="shared" si="116"/>
        <v>19800</v>
      </c>
      <c r="G1749" s="3136">
        <f t="shared" si="116"/>
        <v>115331</v>
      </c>
      <c r="H1749" s="2756">
        <f t="shared" si="117"/>
        <v>5.8247979797979799</v>
      </c>
      <c r="J1749" s="1370"/>
    </row>
    <row r="1750" spans="1:10" s="1622" customFormat="1" ht="43.5" customHeight="1" thickBot="1">
      <c r="A1750" s="1653"/>
      <c r="B1750" s="1890"/>
      <c r="C1750" s="3197" t="s">
        <v>973</v>
      </c>
      <c r="D1750" s="3198" t="s">
        <v>974</v>
      </c>
      <c r="E1750" s="2780">
        <v>19800</v>
      </c>
      <c r="F1750" s="1676">
        <v>19800</v>
      </c>
      <c r="G1750" s="2781">
        <v>115331</v>
      </c>
      <c r="H1750" s="1678">
        <f t="shared" si="117"/>
        <v>5.8247979797979799</v>
      </c>
      <c r="J1750" s="1370"/>
    </row>
    <row r="1751" spans="1:10" ht="21.75" hidden="1" customHeight="1" thickBot="1">
      <c r="A1751" s="1556"/>
      <c r="B1751" s="1557" t="s">
        <v>1186</v>
      </c>
      <c r="C1751" s="1558"/>
      <c r="D1751" s="2844" t="s">
        <v>1187</v>
      </c>
      <c r="E1751" s="1560">
        <v>0</v>
      </c>
      <c r="F1751" s="1909"/>
      <c r="G1751" s="2474"/>
      <c r="H1751" s="1942" t="e">
        <f t="shared" si="117"/>
        <v>#DIV/0!</v>
      </c>
    </row>
    <row r="1752" spans="1:10" ht="20.25" hidden="1" customHeight="1" thickBot="1">
      <c r="A1752" s="1556"/>
      <c r="B1752" s="1750"/>
      <c r="C1752" s="4590" t="s">
        <v>688</v>
      </c>
      <c r="D1752" s="4591"/>
      <c r="E1752" s="3209">
        <v>0</v>
      </c>
      <c r="F1752" s="2805"/>
      <c r="G1752" s="3070"/>
      <c r="H1752" s="2807" t="e">
        <f t="shared" si="117"/>
        <v>#DIV/0!</v>
      </c>
    </row>
    <row r="1753" spans="1:10" ht="17.25" hidden="1" customHeight="1" thickBot="1">
      <c r="A1753" s="1556"/>
      <c r="B1753" s="1750"/>
      <c r="C1753" s="4562" t="s">
        <v>689</v>
      </c>
      <c r="D1753" s="4562"/>
      <c r="E1753" s="2916">
        <v>0</v>
      </c>
      <c r="F1753" s="2805"/>
      <c r="G1753" s="3070"/>
      <c r="H1753" s="2807" t="e">
        <f t="shared" si="117"/>
        <v>#DIV/0!</v>
      </c>
    </row>
    <row r="1754" spans="1:10" ht="15.75" hidden="1" customHeight="1" thickBot="1">
      <c r="A1754" s="1556"/>
      <c r="B1754" s="1750"/>
      <c r="C1754" s="4592" t="s">
        <v>704</v>
      </c>
      <c r="D1754" s="4592"/>
      <c r="E1754" s="2916">
        <v>0</v>
      </c>
      <c r="F1754" s="2805"/>
      <c r="G1754" s="3070"/>
      <c r="H1754" s="2807" t="e">
        <f t="shared" si="117"/>
        <v>#DIV/0!</v>
      </c>
    </row>
    <row r="1755" spans="1:10" ht="18" hidden="1" customHeight="1" thickBot="1">
      <c r="A1755" s="1556"/>
      <c r="B1755" s="1750"/>
      <c r="C1755" s="3210" t="s">
        <v>717</v>
      </c>
      <c r="D1755" s="3211" t="s">
        <v>718</v>
      </c>
      <c r="E1755" s="3124">
        <v>0</v>
      </c>
      <c r="F1755" s="3212"/>
      <c r="G1755" s="3213"/>
      <c r="H1755" s="3071" t="e">
        <f t="shared" si="117"/>
        <v>#DIV/0!</v>
      </c>
    </row>
    <row r="1756" spans="1:10" s="1622" customFormat="1" ht="17.100000000000001" customHeight="1" thickBot="1">
      <c r="A1756" s="1653"/>
      <c r="B1756" s="1624" t="s">
        <v>1188</v>
      </c>
      <c r="C1756" s="1625"/>
      <c r="D1756" s="1626" t="s">
        <v>581</v>
      </c>
      <c r="E1756" s="1627">
        <f t="shared" ref="E1756:G1758" si="118">SUM(E1757)</f>
        <v>150000</v>
      </c>
      <c r="F1756" s="1628">
        <f t="shared" si="118"/>
        <v>150000</v>
      </c>
      <c r="G1756" s="1629">
        <f t="shared" si="118"/>
        <v>150000</v>
      </c>
      <c r="H1756" s="1630">
        <f t="shared" si="117"/>
        <v>1</v>
      </c>
      <c r="J1756" s="1370" t="s">
        <v>931</v>
      </c>
    </row>
    <row r="1757" spans="1:10" s="1622" customFormat="1" ht="15" customHeight="1">
      <c r="A1757" s="1631"/>
      <c r="B1757" s="4537"/>
      <c r="C1757" s="4442" t="s">
        <v>688</v>
      </c>
      <c r="D1757" s="4442"/>
      <c r="E1757" s="2506">
        <f t="shared" si="118"/>
        <v>150000</v>
      </c>
      <c r="F1757" s="1634">
        <f t="shared" si="118"/>
        <v>150000</v>
      </c>
      <c r="G1757" s="2507">
        <f t="shared" si="118"/>
        <v>150000</v>
      </c>
      <c r="H1757" s="1636">
        <f t="shared" si="117"/>
        <v>1</v>
      </c>
      <c r="J1757" s="1370"/>
    </row>
    <row r="1758" spans="1:10" s="1622" customFormat="1" ht="13.5" customHeight="1">
      <c r="A1758" s="1631"/>
      <c r="B1758" s="4416"/>
      <c r="C1758" s="4558" t="s">
        <v>797</v>
      </c>
      <c r="D1758" s="4558"/>
      <c r="E1758" s="3135">
        <f t="shared" si="118"/>
        <v>150000</v>
      </c>
      <c r="F1758" s="2762">
        <f t="shared" si="118"/>
        <v>150000</v>
      </c>
      <c r="G1758" s="3136">
        <f t="shared" si="118"/>
        <v>150000</v>
      </c>
      <c r="H1758" s="2756">
        <f t="shared" si="117"/>
        <v>1</v>
      </c>
      <c r="J1758" s="1370"/>
    </row>
    <row r="1759" spans="1:10" s="1622" customFormat="1" ht="58.5" customHeight="1" thickBot="1">
      <c r="A1759" s="1631"/>
      <c r="B1759" s="4439"/>
      <c r="C1759" s="3214" t="s">
        <v>374</v>
      </c>
      <c r="D1759" s="3198" t="s">
        <v>817</v>
      </c>
      <c r="E1759" s="2780">
        <v>150000</v>
      </c>
      <c r="F1759" s="1676">
        <v>150000</v>
      </c>
      <c r="G1759" s="2781">
        <v>150000</v>
      </c>
      <c r="H1759" s="3201">
        <f t="shared" si="117"/>
        <v>1</v>
      </c>
      <c r="J1759" s="1370"/>
    </row>
    <row r="1760" spans="1:10" s="1622" customFormat="1" ht="17.100000000000001" customHeight="1" thickBot="1">
      <c r="A1760" s="1631"/>
      <c r="B1760" s="2513" t="s">
        <v>1189</v>
      </c>
      <c r="C1760" s="3215"/>
      <c r="D1760" s="2515" t="s">
        <v>1190</v>
      </c>
      <c r="E1760" s="2516">
        <f>SUM(E1761)</f>
        <v>472500</v>
      </c>
      <c r="F1760" s="2517">
        <f>SUM(F1761)</f>
        <v>472500</v>
      </c>
      <c r="G1760" s="2518">
        <f>SUM(G1761)</f>
        <v>466198</v>
      </c>
      <c r="H1760" s="1630">
        <f t="shared" si="117"/>
        <v>0.98666243386243391</v>
      </c>
      <c r="J1760" s="1370" t="s">
        <v>931</v>
      </c>
    </row>
    <row r="1761" spans="1:10" s="1622" customFormat="1" ht="14.25" customHeight="1">
      <c r="A1761" s="1631"/>
      <c r="B1761" s="1653"/>
      <c r="C1761" s="4426" t="s">
        <v>688</v>
      </c>
      <c r="D1761" s="4426"/>
      <c r="E1761" s="2506">
        <f>SUM(E1762,E1768)</f>
        <v>472500</v>
      </c>
      <c r="F1761" s="1634">
        <f>SUM(F1762,F1768)</f>
        <v>472500</v>
      </c>
      <c r="G1761" s="2507">
        <f>SUM(G1762,G1768)</f>
        <v>466198</v>
      </c>
      <c r="H1761" s="1636">
        <f t="shared" si="117"/>
        <v>0.98666243386243391</v>
      </c>
      <c r="J1761" s="1370"/>
    </row>
    <row r="1762" spans="1:10" s="1622" customFormat="1" ht="17.100000000000001" customHeight="1">
      <c r="A1762" s="1631"/>
      <c r="B1762" s="1653"/>
      <c r="C1762" s="4546" t="s">
        <v>689</v>
      </c>
      <c r="D1762" s="4546"/>
      <c r="E1762" s="3135">
        <f>SUM(E1763)</f>
        <v>35000</v>
      </c>
      <c r="F1762" s="2762">
        <f>SUM(F1763)</f>
        <v>35000</v>
      </c>
      <c r="G1762" s="3136">
        <f>SUM(G1763)</f>
        <v>33000</v>
      </c>
      <c r="H1762" s="2756">
        <f t="shared" si="117"/>
        <v>0.94285714285714284</v>
      </c>
      <c r="J1762" s="1370"/>
    </row>
    <row r="1763" spans="1:10" s="1622" customFormat="1" ht="17.100000000000001" customHeight="1">
      <c r="A1763" s="1631"/>
      <c r="B1763" s="1653"/>
      <c r="C1763" s="4573" t="s">
        <v>704</v>
      </c>
      <c r="D1763" s="4573"/>
      <c r="E1763" s="3202">
        <f>SUM(E1764:E1766)</f>
        <v>35000</v>
      </c>
      <c r="F1763" s="3203">
        <f>SUM(F1764:F1766)</f>
        <v>35000</v>
      </c>
      <c r="G1763" s="3204">
        <f>SUM(G1764:G1766)</f>
        <v>33000</v>
      </c>
      <c r="H1763" s="3216">
        <f t="shared" si="117"/>
        <v>0.94285714285714284</v>
      </c>
      <c r="J1763" s="1370"/>
    </row>
    <row r="1764" spans="1:10" s="1622" customFormat="1" ht="17.100000000000001" customHeight="1">
      <c r="A1764" s="1631"/>
      <c r="B1764" s="1653"/>
      <c r="C1764" s="3217" t="s">
        <v>810</v>
      </c>
      <c r="D1764" s="3206" t="s">
        <v>777</v>
      </c>
      <c r="E1764" s="3135">
        <v>25000</v>
      </c>
      <c r="F1764" s="2762">
        <v>25000</v>
      </c>
      <c r="G1764" s="3168">
        <v>27000</v>
      </c>
      <c r="H1764" s="2756">
        <f t="shared" si="117"/>
        <v>1.08</v>
      </c>
      <c r="J1764" s="1370"/>
    </row>
    <row r="1765" spans="1:10" s="1622" customFormat="1" ht="17.100000000000001" customHeight="1">
      <c r="A1765" s="1631"/>
      <c r="B1765" s="1653"/>
      <c r="C1765" s="3137" t="s">
        <v>707</v>
      </c>
      <c r="D1765" s="3218" t="s">
        <v>708</v>
      </c>
      <c r="E1765" s="3135">
        <v>2000</v>
      </c>
      <c r="F1765" s="2762">
        <v>2000</v>
      </c>
      <c r="G1765" s="3168">
        <v>2000</v>
      </c>
      <c r="H1765" s="2756">
        <f t="shared" si="117"/>
        <v>1</v>
      </c>
      <c r="J1765" s="1370"/>
    </row>
    <row r="1766" spans="1:10" s="1622" customFormat="1" ht="17.100000000000001" customHeight="1">
      <c r="A1766" s="1653"/>
      <c r="B1766" s="1653"/>
      <c r="C1766" s="3219" t="s">
        <v>717</v>
      </c>
      <c r="D1766" s="3220" t="s">
        <v>718</v>
      </c>
      <c r="E1766" s="3135">
        <v>8000</v>
      </c>
      <c r="F1766" s="2762">
        <v>8000</v>
      </c>
      <c r="G1766" s="3168">
        <v>4000</v>
      </c>
      <c r="H1766" s="2756">
        <f t="shared" si="117"/>
        <v>0.5</v>
      </c>
      <c r="J1766" s="1370"/>
    </row>
    <row r="1767" spans="1:10" s="1622" customFormat="1" ht="17.100000000000001" customHeight="1">
      <c r="A1767" s="1631"/>
      <c r="B1767" s="1653"/>
      <c r="C1767" s="1866"/>
      <c r="D1767" s="1865"/>
      <c r="E1767" s="1866"/>
      <c r="F1767" s="1859"/>
      <c r="G1767" s="2558"/>
      <c r="H1767" s="1659"/>
      <c r="J1767" s="1370"/>
    </row>
    <row r="1768" spans="1:10" s="1622" customFormat="1" ht="17.100000000000001" customHeight="1">
      <c r="A1768" s="1631"/>
      <c r="B1768" s="1653"/>
      <c r="C1768" s="4588" t="s">
        <v>797</v>
      </c>
      <c r="D1768" s="4589"/>
      <c r="E1768" s="3135">
        <f>SUM(E1769)</f>
        <v>437500</v>
      </c>
      <c r="F1768" s="2762">
        <f>SUM(F1769:F1770)</f>
        <v>437500</v>
      </c>
      <c r="G1768" s="3136">
        <f>SUM(G1769:G1770)</f>
        <v>433198</v>
      </c>
      <c r="H1768" s="2756">
        <f t="shared" ref="H1768:H1786" si="119">G1768/F1768</f>
        <v>0.99016685714285713</v>
      </c>
      <c r="J1768" s="1370"/>
    </row>
    <row r="1769" spans="1:10" s="1622" customFormat="1" ht="54" customHeight="1">
      <c r="A1769" s="1653"/>
      <c r="B1769" s="1653"/>
      <c r="C1769" s="3166" t="s">
        <v>374</v>
      </c>
      <c r="D1769" s="3221" t="s">
        <v>817</v>
      </c>
      <c r="E1769" s="3135">
        <v>437500</v>
      </c>
      <c r="F1769" s="2762">
        <v>437500</v>
      </c>
      <c r="G1769" s="3168">
        <v>268200</v>
      </c>
      <c r="H1769" s="2756">
        <f t="shared" si="119"/>
        <v>0.61302857142857148</v>
      </c>
      <c r="J1769" s="1370"/>
    </row>
    <row r="1770" spans="1:10" s="1622" customFormat="1" ht="29.25" customHeight="1" thickBot="1">
      <c r="A1770" s="1631"/>
      <c r="B1770" s="1653"/>
      <c r="C1770" s="3219" t="s">
        <v>1078</v>
      </c>
      <c r="D1770" s="3222" t="s">
        <v>1079</v>
      </c>
      <c r="E1770" s="2423"/>
      <c r="F1770" s="3132">
        <v>0</v>
      </c>
      <c r="G1770" s="3145">
        <v>164998</v>
      </c>
      <c r="H1770" s="2756"/>
      <c r="J1770" s="1370"/>
    </row>
    <row r="1771" spans="1:10" ht="17.25" hidden="1" customHeight="1">
      <c r="A1771" s="3223"/>
      <c r="B1771" s="4560"/>
      <c r="C1771" s="4376" t="s">
        <v>744</v>
      </c>
      <c r="D1771" s="4376"/>
      <c r="E1771" s="2845">
        <v>0</v>
      </c>
      <c r="F1771" s="2805"/>
      <c r="G1771" s="3224"/>
      <c r="H1771" s="2807" t="e">
        <f t="shared" si="119"/>
        <v>#DIV/0!</v>
      </c>
    </row>
    <row r="1772" spans="1:10" ht="17.25" hidden="1" customHeight="1">
      <c r="A1772" s="3223"/>
      <c r="B1772" s="4560"/>
      <c r="C1772" s="4559" t="s">
        <v>745</v>
      </c>
      <c r="D1772" s="4559"/>
      <c r="E1772" s="3124">
        <v>0</v>
      </c>
      <c r="F1772" s="2805"/>
      <c r="G1772" s="3070"/>
      <c r="H1772" s="2807" t="e">
        <f t="shared" si="119"/>
        <v>#DIV/0!</v>
      </c>
    </row>
    <row r="1773" spans="1:10" ht="40.5" hidden="1" customHeight="1" thickBot="1">
      <c r="A1773" s="3223"/>
      <c r="B1773" s="4560"/>
      <c r="C1773" s="3225" t="s">
        <v>973</v>
      </c>
      <c r="D1773" s="3226" t="s">
        <v>974</v>
      </c>
      <c r="E1773" s="3124">
        <v>0</v>
      </c>
      <c r="F1773" s="2805"/>
      <c r="G1773" s="3070"/>
      <c r="H1773" s="3071" t="e">
        <f t="shared" si="119"/>
        <v>#DIV/0!</v>
      </c>
    </row>
    <row r="1774" spans="1:10" ht="27.75" customHeight="1" thickBot="1">
      <c r="A1774" s="1750"/>
      <c r="B1774" s="1500" t="s">
        <v>1191</v>
      </c>
      <c r="C1774" s="1501"/>
      <c r="D1774" s="1502" t="s">
        <v>584</v>
      </c>
      <c r="E1774" s="1503">
        <f t="shared" ref="E1774:G1777" si="120">SUM(E1775)</f>
        <v>10000</v>
      </c>
      <c r="F1774" s="1504">
        <f t="shared" si="120"/>
        <v>10000</v>
      </c>
      <c r="G1774" s="1505">
        <f t="shared" si="120"/>
        <v>0</v>
      </c>
      <c r="H1774" s="1506">
        <f t="shared" si="119"/>
        <v>0</v>
      </c>
    </row>
    <row r="1775" spans="1:10" ht="17.100000000000001" customHeight="1">
      <c r="A1775" s="1556"/>
      <c r="B1775" s="4357"/>
      <c r="C1775" s="4358" t="s">
        <v>688</v>
      </c>
      <c r="D1775" s="4358"/>
      <c r="E1775" s="2946">
        <f t="shared" si="120"/>
        <v>10000</v>
      </c>
      <c r="F1775" s="1418">
        <f t="shared" si="120"/>
        <v>10000</v>
      </c>
      <c r="G1775" s="2947">
        <f t="shared" si="120"/>
        <v>0</v>
      </c>
      <c r="H1775" s="1509">
        <f t="shared" si="119"/>
        <v>0</v>
      </c>
    </row>
    <row r="1776" spans="1:10" ht="17.100000000000001" customHeight="1">
      <c r="A1776" s="1556"/>
      <c r="B1776" s="4357"/>
      <c r="C1776" s="4587" t="s">
        <v>689</v>
      </c>
      <c r="D1776" s="4587"/>
      <c r="E1776" s="2900">
        <f t="shared" si="120"/>
        <v>10000</v>
      </c>
      <c r="F1776" s="2790">
        <f t="shared" si="120"/>
        <v>10000</v>
      </c>
      <c r="G1776" s="3077">
        <f t="shared" si="120"/>
        <v>0</v>
      </c>
      <c r="H1776" s="2792">
        <f t="shared" si="119"/>
        <v>0</v>
      </c>
    </row>
    <row r="1777" spans="1:10" ht="17.100000000000001" customHeight="1">
      <c r="A1777" s="1556"/>
      <c r="B1777" s="4357"/>
      <c r="C1777" s="4572" t="s">
        <v>704</v>
      </c>
      <c r="D1777" s="4572"/>
      <c r="E1777" s="2907">
        <f t="shared" si="120"/>
        <v>10000</v>
      </c>
      <c r="F1777" s="2865">
        <f t="shared" si="120"/>
        <v>10000</v>
      </c>
      <c r="G1777" s="3078">
        <f t="shared" si="120"/>
        <v>0</v>
      </c>
      <c r="H1777" s="2867">
        <f t="shared" si="119"/>
        <v>0</v>
      </c>
    </row>
    <row r="1778" spans="1:10" ht="17.100000000000001" customHeight="1" thickBot="1">
      <c r="A1778" s="1556"/>
      <c r="B1778" s="4357"/>
      <c r="C1778" s="3227" t="s">
        <v>1192</v>
      </c>
      <c r="D1778" s="3228" t="s">
        <v>1193</v>
      </c>
      <c r="E1778" s="3085">
        <v>10000</v>
      </c>
      <c r="F1778" s="2790">
        <v>10000</v>
      </c>
      <c r="G1778" s="3056">
        <v>0</v>
      </c>
      <c r="H1778" s="3229">
        <f t="shared" si="119"/>
        <v>0</v>
      </c>
    </row>
    <row r="1779" spans="1:10" s="1622" customFormat="1" ht="17.100000000000001" customHeight="1" thickBot="1">
      <c r="A1779" s="1631"/>
      <c r="B1779" s="1624" t="s">
        <v>1194</v>
      </c>
      <c r="C1779" s="1625"/>
      <c r="D1779" s="1626" t="s">
        <v>1195</v>
      </c>
      <c r="E1779" s="1627">
        <f t="shared" ref="E1779:G1780" si="121">SUM(E1780)</f>
        <v>19736691</v>
      </c>
      <c r="F1779" s="1628">
        <f t="shared" si="121"/>
        <v>29220053</v>
      </c>
      <c r="G1779" s="1629">
        <f t="shared" si="121"/>
        <v>18504000</v>
      </c>
      <c r="H1779" s="1630">
        <f t="shared" si="119"/>
        <v>0.63326373843332862</v>
      </c>
      <c r="J1779" s="1370"/>
    </row>
    <row r="1780" spans="1:10" s="1622" customFormat="1" ht="17.100000000000001" customHeight="1">
      <c r="A1780" s="1631"/>
      <c r="B1780" s="1671"/>
      <c r="C1780" s="4426" t="s">
        <v>688</v>
      </c>
      <c r="D1780" s="4426"/>
      <c r="E1780" s="3135">
        <f t="shared" si="121"/>
        <v>19736691</v>
      </c>
      <c r="F1780" s="2784">
        <f t="shared" si="121"/>
        <v>29220053</v>
      </c>
      <c r="G1780" s="3230">
        <f t="shared" si="121"/>
        <v>18504000</v>
      </c>
      <c r="H1780" s="1636">
        <f t="shared" si="119"/>
        <v>0.63326373843332862</v>
      </c>
      <c r="J1780" s="1370"/>
    </row>
    <row r="1781" spans="1:10" s="1622" customFormat="1" ht="17.100000000000001" customHeight="1">
      <c r="A1781" s="1631"/>
      <c r="B1781" s="1671"/>
      <c r="C1781" s="4546" t="s">
        <v>689</v>
      </c>
      <c r="D1781" s="4546"/>
      <c r="E1781" s="3135">
        <f>SUM(E1782,E1788)</f>
        <v>19736691</v>
      </c>
      <c r="F1781" s="2762">
        <f>SUM(F1782,F1788)</f>
        <v>29220053</v>
      </c>
      <c r="G1781" s="3136">
        <f>SUM(G1782,G1788)</f>
        <v>18504000</v>
      </c>
      <c r="H1781" s="2756">
        <f t="shared" si="119"/>
        <v>0.63326373843332862</v>
      </c>
      <c r="J1781" s="1370"/>
    </row>
    <row r="1782" spans="1:10" s="1622" customFormat="1" ht="17.100000000000001" customHeight="1">
      <c r="A1782" s="1631"/>
      <c r="B1782" s="1671"/>
      <c r="C1782" s="4571" t="s">
        <v>690</v>
      </c>
      <c r="D1782" s="4571"/>
      <c r="E1782" s="3202">
        <f>SUM(E1783:E1786)</f>
        <v>0</v>
      </c>
      <c r="F1782" s="3203">
        <f>SUM(F1783:F1786)</f>
        <v>26937</v>
      </c>
      <c r="G1782" s="3204">
        <f>SUM(G1783:G1786)</f>
        <v>0</v>
      </c>
      <c r="H1782" s="3216">
        <f t="shared" si="119"/>
        <v>0</v>
      </c>
      <c r="J1782" s="1370"/>
    </row>
    <row r="1783" spans="1:10" s="1622" customFormat="1" ht="17.100000000000001" customHeight="1">
      <c r="A1783" s="1631"/>
      <c r="B1783" s="1671"/>
      <c r="C1783" s="3205" t="s">
        <v>692</v>
      </c>
      <c r="D1783" s="3206" t="s">
        <v>693</v>
      </c>
      <c r="E1783" s="3135">
        <v>0</v>
      </c>
      <c r="F1783" s="2762">
        <v>22422</v>
      </c>
      <c r="G1783" s="3168">
        <v>0</v>
      </c>
      <c r="H1783" s="2756">
        <f t="shared" si="119"/>
        <v>0</v>
      </c>
      <c r="J1783" s="1370"/>
    </row>
    <row r="1784" spans="1:10" s="1622" customFormat="1" ht="17.100000000000001" customHeight="1">
      <c r="A1784" s="1631"/>
      <c r="B1784" s="1671"/>
      <c r="C1784" s="3205" t="s">
        <v>696</v>
      </c>
      <c r="D1784" s="3200" t="s">
        <v>697</v>
      </c>
      <c r="E1784" s="3135">
        <v>0</v>
      </c>
      <c r="F1784" s="2762">
        <v>3854</v>
      </c>
      <c r="G1784" s="3168">
        <v>0</v>
      </c>
      <c r="H1784" s="2756">
        <f t="shared" si="119"/>
        <v>0</v>
      </c>
      <c r="J1784" s="1370"/>
    </row>
    <row r="1785" spans="1:10" s="1622" customFormat="1" ht="16.5" customHeight="1">
      <c r="A1785" s="1631"/>
      <c r="B1785" s="1671"/>
      <c r="C1785" s="3205" t="s">
        <v>698</v>
      </c>
      <c r="D1785" s="3206" t="s">
        <v>699</v>
      </c>
      <c r="E1785" s="3135">
        <v>0</v>
      </c>
      <c r="F1785" s="2762">
        <v>550</v>
      </c>
      <c r="G1785" s="3168">
        <v>0</v>
      </c>
      <c r="H1785" s="2756">
        <f t="shared" si="119"/>
        <v>0</v>
      </c>
      <c r="J1785" s="1370"/>
    </row>
    <row r="1786" spans="1:10" s="1622" customFormat="1" ht="16.5" customHeight="1">
      <c r="A1786" s="1631"/>
      <c r="B1786" s="1671"/>
      <c r="C1786" s="3166" t="s">
        <v>702</v>
      </c>
      <c r="D1786" s="3231" t="s">
        <v>703</v>
      </c>
      <c r="E1786" s="3135">
        <v>0</v>
      </c>
      <c r="F1786" s="2762">
        <v>111</v>
      </c>
      <c r="G1786" s="3168">
        <v>0</v>
      </c>
      <c r="H1786" s="2756">
        <f t="shared" si="119"/>
        <v>0</v>
      </c>
      <c r="J1786" s="1370"/>
    </row>
    <row r="1787" spans="1:10" s="1622" customFormat="1" ht="14.25" customHeight="1">
      <c r="A1787" s="1631"/>
      <c r="B1787" s="1671"/>
      <c r="C1787" s="2648"/>
      <c r="D1787" s="3232"/>
      <c r="E1787" s="3135"/>
      <c r="F1787" s="2762"/>
      <c r="G1787" s="3145"/>
      <c r="H1787" s="2756"/>
      <c r="J1787" s="1370"/>
    </row>
    <row r="1788" spans="1:10" s="1622" customFormat="1" ht="17.100000000000001" customHeight="1">
      <c r="A1788" s="1631"/>
      <c r="B1788" s="1671"/>
      <c r="C1788" s="4576" t="s">
        <v>704</v>
      </c>
      <c r="D1788" s="4576"/>
      <c r="E1788" s="3202">
        <f>SUM(E1789)</f>
        <v>19736691</v>
      </c>
      <c r="F1788" s="3203">
        <f>SUM(F1789)</f>
        <v>29193116</v>
      </c>
      <c r="G1788" s="3204">
        <f>SUM(G1789)</f>
        <v>18504000</v>
      </c>
      <c r="H1788" s="3216">
        <f t="shared" ref="H1788:H1794" si="122">G1788/F1788</f>
        <v>0.63384806198831256</v>
      </c>
      <c r="J1788" s="1370"/>
    </row>
    <row r="1789" spans="1:10" s="1622" customFormat="1" ht="17.100000000000001" customHeight="1" thickBot="1">
      <c r="A1789" s="1890"/>
      <c r="B1789" s="1674"/>
      <c r="C1789" s="3197" t="s">
        <v>1196</v>
      </c>
      <c r="D1789" s="3233" t="s">
        <v>1197</v>
      </c>
      <c r="E1789" s="2780">
        <v>19736691</v>
      </c>
      <c r="F1789" s="1676">
        <v>29193116</v>
      </c>
      <c r="G1789" s="2781">
        <v>18504000</v>
      </c>
      <c r="H1789" s="1678">
        <f t="shared" si="122"/>
        <v>0.63384806198831256</v>
      </c>
      <c r="J1789" s="1370" t="s">
        <v>931</v>
      </c>
    </row>
    <row r="1790" spans="1:10" s="1622" customFormat="1" ht="17.100000000000001" customHeight="1" thickBot="1">
      <c r="A1790" s="1623"/>
      <c r="B1790" s="1624" t="s">
        <v>1198</v>
      </c>
      <c r="C1790" s="1625"/>
      <c r="D1790" s="1626" t="s">
        <v>312</v>
      </c>
      <c r="E1790" s="1627">
        <f>SUM(E1791,E1809)</f>
        <v>138734</v>
      </c>
      <c r="F1790" s="1628">
        <f>SUM(F1791,F1809)</f>
        <v>4272045</v>
      </c>
      <c r="G1790" s="1629">
        <f>SUM(G1791,G1809)</f>
        <v>140083</v>
      </c>
      <c r="H1790" s="1630">
        <f t="shared" si="122"/>
        <v>3.2790619012674257E-2</v>
      </c>
      <c r="J1790" s="1370"/>
    </row>
    <row r="1791" spans="1:10" s="1622" customFormat="1" ht="17.100000000000001" customHeight="1">
      <c r="A1791" s="1631"/>
      <c r="B1791" s="1671"/>
      <c r="C1791" s="4426" t="s">
        <v>688</v>
      </c>
      <c r="D1791" s="4426"/>
      <c r="E1791" s="2506">
        <f>SUM(E1792,E1799,E1803)</f>
        <v>138734</v>
      </c>
      <c r="F1791" s="1634">
        <f>SUM(F1792,F1799,F1803)</f>
        <v>614304</v>
      </c>
      <c r="G1791" s="2507">
        <f>SUM(G1792,G1799,G1803)</f>
        <v>140083</v>
      </c>
      <c r="H1791" s="1636">
        <f t="shared" si="122"/>
        <v>0.22803530499557223</v>
      </c>
      <c r="J1791" s="1370"/>
    </row>
    <row r="1792" spans="1:10" s="1622" customFormat="1" ht="17.100000000000001" customHeight="1">
      <c r="A1792" s="1631"/>
      <c r="B1792" s="1653"/>
      <c r="C1792" s="4546" t="s">
        <v>689</v>
      </c>
      <c r="D1792" s="4546"/>
      <c r="E1792" s="3135">
        <f>SUM(E1793,E1796)</f>
        <v>48734</v>
      </c>
      <c r="F1792" s="2762">
        <f>SUM(F1793,F1796)</f>
        <v>82534</v>
      </c>
      <c r="G1792" s="3136">
        <f>SUM(G1793,G1796)</f>
        <v>50083</v>
      </c>
      <c r="H1792" s="2756">
        <f t="shared" si="122"/>
        <v>0.60681658468025301</v>
      </c>
      <c r="J1792" s="1370"/>
    </row>
    <row r="1793" spans="1:10" s="1622" customFormat="1" ht="17.100000000000001" customHeight="1">
      <c r="A1793" s="1631"/>
      <c r="B1793" s="1653"/>
      <c r="C1793" s="4571" t="s">
        <v>690</v>
      </c>
      <c r="D1793" s="4571"/>
      <c r="E1793" s="3202">
        <f>SUM(E1794)</f>
        <v>43874</v>
      </c>
      <c r="F1793" s="3203">
        <f>SUM(F1794)</f>
        <v>65474</v>
      </c>
      <c r="G1793" s="3204">
        <f>SUM(G1794)</f>
        <v>46375</v>
      </c>
      <c r="H1793" s="3216">
        <f t="shared" si="122"/>
        <v>0.70829642300760609</v>
      </c>
      <c r="J1793" s="1370"/>
    </row>
    <row r="1794" spans="1:10" s="1622" customFormat="1" ht="15.75" customHeight="1">
      <c r="A1794" s="1631"/>
      <c r="B1794" s="1653"/>
      <c r="C1794" s="3205" t="s">
        <v>700</v>
      </c>
      <c r="D1794" s="3206" t="s">
        <v>701</v>
      </c>
      <c r="E1794" s="3234">
        <v>43874</v>
      </c>
      <c r="F1794" s="2762">
        <v>65474</v>
      </c>
      <c r="G1794" s="3168">
        <v>46375</v>
      </c>
      <c r="H1794" s="2756">
        <f t="shared" si="122"/>
        <v>0.70829642300760609</v>
      </c>
      <c r="J1794" s="1370" t="s">
        <v>931</v>
      </c>
    </row>
    <row r="1795" spans="1:10" s="1622" customFormat="1" ht="13.5" customHeight="1">
      <c r="A1795" s="1631"/>
      <c r="B1795" s="1653"/>
      <c r="C1795" s="1865"/>
      <c r="D1795" s="1865"/>
      <c r="E1795" s="1866"/>
      <c r="F1795" s="2762"/>
      <c r="G1795" s="3168"/>
      <c r="H1795" s="2756"/>
      <c r="J1795" s="1370"/>
    </row>
    <row r="1796" spans="1:10" s="1622" customFormat="1" ht="17.100000000000001" customHeight="1">
      <c r="A1796" s="1631"/>
      <c r="B1796" s="1653"/>
      <c r="C1796" s="4576" t="s">
        <v>704</v>
      </c>
      <c r="D1796" s="4576"/>
      <c r="E1796" s="3235">
        <f>SUM(E1797)</f>
        <v>4860</v>
      </c>
      <c r="F1796" s="3236">
        <f>SUM(F1797)</f>
        <v>17060</v>
      </c>
      <c r="G1796" s="3237">
        <f>SUM(G1797)</f>
        <v>3708</v>
      </c>
      <c r="H1796" s="3216">
        <f>G1796/F1796</f>
        <v>0.21735052754982415</v>
      </c>
      <c r="J1796" s="1370"/>
    </row>
    <row r="1797" spans="1:10" s="1622" customFormat="1" ht="17.25" customHeight="1">
      <c r="A1797" s="1631"/>
      <c r="B1797" s="1653"/>
      <c r="C1797" s="3238" t="s">
        <v>717</v>
      </c>
      <c r="D1797" s="3239" t="s">
        <v>718</v>
      </c>
      <c r="E1797" s="3135">
        <v>4860</v>
      </c>
      <c r="F1797" s="2762">
        <v>17060</v>
      </c>
      <c r="G1797" s="3168">
        <v>3708</v>
      </c>
      <c r="H1797" s="2756">
        <f>G1797/F1797</f>
        <v>0.21735052754982415</v>
      </c>
      <c r="J1797" s="1370" t="s">
        <v>931</v>
      </c>
    </row>
    <row r="1798" spans="1:10" s="1622" customFormat="1" ht="15" customHeight="1">
      <c r="A1798" s="1653"/>
      <c r="B1798" s="1653"/>
      <c r="C1798" s="4577"/>
      <c r="D1798" s="4578"/>
      <c r="E1798" s="2459"/>
      <c r="F1798" s="2762"/>
      <c r="G1798" s="3168"/>
      <c r="H1798" s="2756"/>
      <c r="J1798" s="1370"/>
    </row>
    <row r="1799" spans="1:10" s="1622" customFormat="1" ht="15" customHeight="1">
      <c r="A1799" s="1631"/>
      <c r="B1799" s="1653"/>
      <c r="C1799" s="4579" t="s">
        <v>797</v>
      </c>
      <c r="D1799" s="4580"/>
      <c r="E1799" s="2459">
        <f>SUM(E1800)</f>
        <v>90000</v>
      </c>
      <c r="F1799" s="1859">
        <f>SUM(F1800)</f>
        <v>90000</v>
      </c>
      <c r="G1799" s="2537">
        <f>SUM(G1800)</f>
        <v>90000</v>
      </c>
      <c r="H1799" s="1659">
        <f>G1799/F1799</f>
        <v>1</v>
      </c>
      <c r="J1799" s="1370"/>
    </row>
    <row r="1800" spans="1:10" s="1622" customFormat="1" ht="51" customHeight="1">
      <c r="A1800" s="1631"/>
      <c r="B1800" s="1653"/>
      <c r="C1800" s="3238" t="s">
        <v>374</v>
      </c>
      <c r="D1800" s="3206" t="s">
        <v>817</v>
      </c>
      <c r="E1800" s="3135">
        <v>90000</v>
      </c>
      <c r="F1800" s="2762">
        <v>90000</v>
      </c>
      <c r="G1800" s="3168">
        <v>90000</v>
      </c>
      <c r="H1800" s="2756">
        <f>G1800/F1800</f>
        <v>1</v>
      </c>
      <c r="J1800" s="1370" t="s">
        <v>931</v>
      </c>
    </row>
    <row r="1801" spans="1:10" s="1622" customFormat="1" ht="41.25" hidden="1" customHeight="1">
      <c r="A1801" s="1631"/>
      <c r="B1801" s="1653"/>
      <c r="C1801" s="3238" t="s">
        <v>1078</v>
      </c>
      <c r="D1801" s="3240" t="s">
        <v>1184</v>
      </c>
      <c r="E1801" s="3135">
        <v>0</v>
      </c>
      <c r="F1801" s="2762"/>
      <c r="G1801" s="3168"/>
      <c r="H1801" s="2756" t="e">
        <f>G1801/F1801</f>
        <v>#DIV/0!</v>
      </c>
      <c r="J1801" s="1370"/>
    </row>
    <row r="1802" spans="1:10" s="1622" customFormat="1" ht="13.5" customHeight="1">
      <c r="A1802" s="1631"/>
      <c r="B1802" s="1653"/>
      <c r="C1802" s="4581"/>
      <c r="D1802" s="4582"/>
      <c r="E1802" s="2423"/>
      <c r="F1802" s="2762"/>
      <c r="G1802" s="3168"/>
      <c r="H1802" s="2756"/>
      <c r="J1802" s="1370"/>
    </row>
    <row r="1803" spans="1:10" s="1622" customFormat="1" ht="18.75" customHeight="1">
      <c r="A1803" s="1631"/>
      <c r="B1803" s="1653"/>
      <c r="C1803" s="4583" t="s">
        <v>761</v>
      </c>
      <c r="D1803" s="4584"/>
      <c r="E1803" s="3135">
        <f>SUM(E1804:E1807)</f>
        <v>0</v>
      </c>
      <c r="F1803" s="2762">
        <f>SUM(F1804:F1807)</f>
        <v>441770</v>
      </c>
      <c r="G1803" s="3136">
        <f>SUM(G1804:G1807)</f>
        <v>0</v>
      </c>
      <c r="H1803" s="2756">
        <f>G1803/F1803</f>
        <v>0</v>
      </c>
      <c r="J1803" s="1370"/>
    </row>
    <row r="1804" spans="1:10" s="1622" customFormat="1" ht="63" customHeight="1">
      <c r="A1804" s="1631"/>
      <c r="B1804" s="1653"/>
      <c r="C1804" s="3238" t="s">
        <v>459</v>
      </c>
      <c r="D1804" s="3241" t="s">
        <v>1199</v>
      </c>
      <c r="E1804" s="3135">
        <v>0</v>
      </c>
      <c r="F1804" s="2762">
        <v>439741</v>
      </c>
      <c r="G1804" s="3168">
        <v>0</v>
      </c>
      <c r="H1804" s="2756">
        <f>G1804/F1804</f>
        <v>0</v>
      </c>
      <c r="J1804" s="1370"/>
    </row>
    <row r="1805" spans="1:10" s="1622" customFormat="1" ht="51">
      <c r="A1805" s="1631"/>
      <c r="B1805" s="1653"/>
      <c r="C1805" s="3238" t="s">
        <v>420</v>
      </c>
      <c r="D1805" s="3242" t="s">
        <v>948</v>
      </c>
      <c r="E1805" s="3135">
        <v>0</v>
      </c>
      <c r="F1805" s="2762">
        <v>1338</v>
      </c>
      <c r="G1805" s="3168">
        <v>0</v>
      </c>
      <c r="H1805" s="2756">
        <f>G1805/F1805</f>
        <v>0</v>
      </c>
      <c r="J1805" s="1370"/>
    </row>
    <row r="1806" spans="1:10" s="1622" customFormat="1" ht="21.75" customHeight="1">
      <c r="A1806" s="1631"/>
      <c r="B1806" s="1653"/>
      <c r="C1806" s="3238" t="s">
        <v>832</v>
      </c>
      <c r="D1806" s="3206" t="s">
        <v>708</v>
      </c>
      <c r="E1806" s="3135">
        <v>0</v>
      </c>
      <c r="F1806" s="2762">
        <v>600</v>
      </c>
      <c r="G1806" s="3168">
        <v>0</v>
      </c>
      <c r="H1806" s="2756">
        <f>G1806/F1806</f>
        <v>0</v>
      </c>
      <c r="J1806" s="1370"/>
    </row>
    <row r="1807" spans="1:10" s="1622" customFormat="1" ht="55.5" customHeight="1">
      <c r="A1807" s="1631"/>
      <c r="B1807" s="1653"/>
      <c r="C1807" s="3219" t="s">
        <v>791</v>
      </c>
      <c r="D1807" s="3243" t="s">
        <v>792</v>
      </c>
      <c r="E1807" s="3135">
        <v>0</v>
      </c>
      <c r="F1807" s="2762">
        <v>91</v>
      </c>
      <c r="G1807" s="3168">
        <v>0</v>
      </c>
      <c r="H1807" s="2756">
        <f>G1807/F1807</f>
        <v>0</v>
      </c>
      <c r="J1807" s="1370"/>
    </row>
    <row r="1808" spans="1:10" s="1622" customFormat="1" ht="13.5" customHeight="1">
      <c r="A1808" s="1631"/>
      <c r="B1808" s="1653"/>
      <c r="C1808" s="4585"/>
      <c r="D1808" s="4586"/>
      <c r="E1808" s="2423"/>
      <c r="F1808" s="2762"/>
      <c r="G1808" s="3168"/>
      <c r="H1808" s="2756"/>
      <c r="J1808" s="1370"/>
    </row>
    <row r="1809" spans="1:10" s="1622" customFormat="1" ht="18.75" customHeight="1">
      <c r="A1809" s="1631"/>
      <c r="B1809" s="1653"/>
      <c r="C1809" s="4566" t="s">
        <v>744</v>
      </c>
      <c r="D1809" s="4566"/>
      <c r="E1809" s="3244">
        <f t="shared" ref="E1809:G1810" si="123">SUM(E1810)</f>
        <v>0</v>
      </c>
      <c r="F1809" s="2784">
        <f t="shared" si="123"/>
        <v>3657741</v>
      </c>
      <c r="G1809" s="3230">
        <f t="shared" si="123"/>
        <v>0</v>
      </c>
      <c r="H1809" s="2782">
        <f>G1809/F1809</f>
        <v>0</v>
      </c>
      <c r="J1809" s="1370"/>
    </row>
    <row r="1810" spans="1:10" s="1622" customFormat="1" ht="15.75" customHeight="1">
      <c r="A1810" s="1631"/>
      <c r="B1810" s="1653"/>
      <c r="C1810" s="4436" t="s">
        <v>745</v>
      </c>
      <c r="D1810" s="4437"/>
      <c r="E1810" s="2423">
        <f t="shared" si="123"/>
        <v>0</v>
      </c>
      <c r="F1810" s="3132">
        <f t="shared" si="123"/>
        <v>3657741</v>
      </c>
      <c r="G1810" s="3133">
        <f t="shared" si="123"/>
        <v>0</v>
      </c>
      <c r="H1810" s="2756">
        <f>G1810/F1810</f>
        <v>0</v>
      </c>
      <c r="J1810" s="1370"/>
    </row>
    <row r="1811" spans="1:10" s="1622" customFormat="1" ht="63" customHeight="1">
      <c r="A1811" s="1631"/>
      <c r="B1811" s="1653"/>
      <c r="C1811" s="3238" t="s">
        <v>839</v>
      </c>
      <c r="D1811" s="3245" t="s">
        <v>840</v>
      </c>
      <c r="E1811" s="3135">
        <v>0</v>
      </c>
      <c r="F1811" s="2762">
        <v>3657741</v>
      </c>
      <c r="G1811" s="3168">
        <v>0</v>
      </c>
      <c r="H1811" s="2756">
        <f>G1811/F1811</f>
        <v>0</v>
      </c>
      <c r="J1811" s="1370"/>
    </row>
    <row r="1812" spans="1:10" s="1622" customFormat="1" ht="27.75" hidden="1" customHeight="1">
      <c r="A1812" s="1631"/>
      <c r="B1812" s="1653"/>
      <c r="C1812" s="3238" t="s">
        <v>977</v>
      </c>
      <c r="D1812" s="3246" t="s">
        <v>978</v>
      </c>
      <c r="E1812" s="3135">
        <v>0</v>
      </c>
      <c r="F1812" s="2762"/>
      <c r="G1812" s="3168"/>
      <c r="H1812" s="2756" t="e">
        <f>G1812/F1812</f>
        <v>#DIV/0!</v>
      </c>
      <c r="J1812" s="1370"/>
    </row>
    <row r="1813" spans="1:10" s="1622" customFormat="1" ht="12.75" customHeight="1">
      <c r="A1813" s="1631"/>
      <c r="B1813" s="1653"/>
      <c r="C1813" s="3238"/>
      <c r="D1813" s="3247"/>
      <c r="E1813" s="3135"/>
      <c r="F1813" s="2762"/>
      <c r="G1813" s="3168"/>
      <c r="H1813" s="2756"/>
      <c r="J1813" s="1370"/>
    </row>
    <row r="1814" spans="1:10" s="1622" customFormat="1" ht="17.25" customHeight="1">
      <c r="A1814" s="1631"/>
      <c r="B1814" s="1653"/>
      <c r="C1814" s="4573" t="s">
        <v>758</v>
      </c>
      <c r="D1814" s="4574"/>
      <c r="E1814" s="2423">
        <f>SUM(E1815)</f>
        <v>0</v>
      </c>
      <c r="F1814" s="3132">
        <f>SUM(F1815)</f>
        <v>3657741</v>
      </c>
      <c r="G1814" s="3133">
        <f>SUM(G1815)</f>
        <v>0</v>
      </c>
      <c r="H1814" s="2756">
        <f t="shared" ref="H1814:H1822" si="124">G1814/F1814</f>
        <v>0</v>
      </c>
      <c r="J1814" s="1370"/>
    </row>
    <row r="1815" spans="1:10" s="1622" customFormat="1" ht="67.5" customHeight="1" thickBot="1">
      <c r="A1815" s="1673"/>
      <c r="B1815" s="1890"/>
      <c r="C1815" s="2510" t="s">
        <v>839</v>
      </c>
      <c r="D1815" s="3248" t="s">
        <v>840</v>
      </c>
      <c r="E1815" s="2780">
        <v>0</v>
      </c>
      <c r="F1815" s="1676">
        <v>3657741</v>
      </c>
      <c r="G1815" s="2781">
        <v>0</v>
      </c>
      <c r="H1815" s="1678">
        <f t="shared" si="124"/>
        <v>0</v>
      </c>
      <c r="J1815" s="1370"/>
    </row>
    <row r="1816" spans="1:10" ht="26.25" hidden="1" customHeight="1" thickBot="1">
      <c r="A1816" s="1556"/>
      <c r="B1816" s="1750"/>
      <c r="C1816" s="3017" t="s">
        <v>977</v>
      </c>
      <c r="D1816" s="3249" t="s">
        <v>978</v>
      </c>
      <c r="E1816" s="3019">
        <v>0</v>
      </c>
      <c r="F1816" s="1909"/>
      <c r="G1816" s="2474"/>
      <c r="H1816" s="1831" t="e">
        <f t="shared" si="124"/>
        <v>#DIV/0!</v>
      </c>
    </row>
    <row r="1817" spans="1:10" ht="17.100000000000001" customHeight="1" thickBot="1">
      <c r="A1817" s="1595" t="s">
        <v>1200</v>
      </c>
      <c r="B1817" s="1401"/>
      <c r="C1817" s="1402"/>
      <c r="D1817" s="1403" t="s">
        <v>1201</v>
      </c>
      <c r="E1817" s="2097">
        <f>SUM(E1818,E1833,E1996,E2006)</f>
        <v>22220943</v>
      </c>
      <c r="F1817" s="2098">
        <f>SUM(F1818,F1833,F1877,F1996,F2006)</f>
        <v>27446005</v>
      </c>
      <c r="G1817" s="2098">
        <f>SUM(G1818,G1833,G1877,G1996,G2006)</f>
        <v>39992576</v>
      </c>
      <c r="H1817" s="2348">
        <f t="shared" si="124"/>
        <v>1.4571365122173519</v>
      </c>
    </row>
    <row r="1818" spans="1:10" s="1622" customFormat="1" ht="17.100000000000001" customHeight="1" thickBot="1">
      <c r="A1818" s="3250"/>
      <c r="B1818" s="3192" t="s">
        <v>1202</v>
      </c>
      <c r="C1818" s="3251"/>
      <c r="D1818" s="3252" t="s">
        <v>591</v>
      </c>
      <c r="E1818" s="1627">
        <f>SUM(E1819)</f>
        <v>200000</v>
      </c>
      <c r="F1818" s="1628">
        <f>SUM(F1819)</f>
        <v>200000</v>
      </c>
      <c r="G1818" s="1629">
        <f>SUM(G1819)</f>
        <v>200000</v>
      </c>
      <c r="H1818" s="1630">
        <f t="shared" si="124"/>
        <v>1</v>
      </c>
      <c r="J1818" s="1370"/>
    </row>
    <row r="1819" spans="1:10" s="1622" customFormat="1" ht="17.100000000000001" customHeight="1">
      <c r="A1819" s="3250"/>
      <c r="B1819" s="4575"/>
      <c r="C1819" s="4426" t="s">
        <v>688</v>
      </c>
      <c r="D1819" s="4426"/>
      <c r="E1819" s="2506">
        <f>SUM(E1820,E1824)</f>
        <v>200000</v>
      </c>
      <c r="F1819" s="1634">
        <f>SUM(F1820,F1824)</f>
        <v>200000</v>
      </c>
      <c r="G1819" s="2507">
        <f>SUM(G1820,G1824)</f>
        <v>200000</v>
      </c>
      <c r="H1819" s="1636">
        <f t="shared" si="124"/>
        <v>1</v>
      </c>
      <c r="J1819" s="1370"/>
    </row>
    <row r="1820" spans="1:10" s="1622" customFormat="1" ht="17.100000000000001" customHeight="1">
      <c r="A1820" s="1631"/>
      <c r="B1820" s="4575"/>
      <c r="C1820" s="4546" t="s">
        <v>689</v>
      </c>
      <c r="D1820" s="4546"/>
      <c r="E1820" s="3135">
        <f t="shared" ref="E1820:G1821" si="125">SUM(E1821)</f>
        <v>0</v>
      </c>
      <c r="F1820" s="2762">
        <f t="shared" si="125"/>
        <v>100000</v>
      </c>
      <c r="G1820" s="3136">
        <f t="shared" si="125"/>
        <v>0</v>
      </c>
      <c r="H1820" s="2756">
        <f t="shared" si="124"/>
        <v>0</v>
      </c>
      <c r="J1820" s="1370"/>
    </row>
    <row r="1821" spans="1:10" s="1622" customFormat="1" ht="17.100000000000001" customHeight="1">
      <c r="A1821" s="1631"/>
      <c r="B1821" s="4575"/>
      <c r="C1821" s="4576" t="s">
        <v>704</v>
      </c>
      <c r="D1821" s="4576"/>
      <c r="E1821" s="3235">
        <f t="shared" si="125"/>
        <v>0</v>
      </c>
      <c r="F1821" s="3236">
        <f t="shared" si="125"/>
        <v>100000</v>
      </c>
      <c r="G1821" s="3237">
        <f t="shared" si="125"/>
        <v>0</v>
      </c>
      <c r="H1821" s="3216">
        <f t="shared" si="124"/>
        <v>0</v>
      </c>
      <c r="J1821" s="1370"/>
    </row>
    <row r="1822" spans="1:10" s="1622" customFormat="1" ht="17.25" customHeight="1">
      <c r="A1822" s="1631"/>
      <c r="B1822" s="4575"/>
      <c r="C1822" s="3238" t="s">
        <v>717</v>
      </c>
      <c r="D1822" s="3239" t="s">
        <v>718</v>
      </c>
      <c r="E1822" s="3135">
        <v>0</v>
      </c>
      <c r="F1822" s="2762">
        <v>100000</v>
      </c>
      <c r="G1822" s="3168">
        <v>0</v>
      </c>
      <c r="H1822" s="2756">
        <f t="shared" si="124"/>
        <v>0</v>
      </c>
      <c r="J1822" s="1370"/>
    </row>
    <row r="1823" spans="1:10" s="1622" customFormat="1" ht="15" customHeight="1">
      <c r="A1823" s="1631"/>
      <c r="B1823" s="4575"/>
      <c r="C1823" s="4577"/>
      <c r="D1823" s="4578"/>
      <c r="E1823" s="2423"/>
      <c r="F1823" s="2762"/>
      <c r="G1823" s="3168"/>
      <c r="H1823" s="2756"/>
      <c r="J1823" s="1370"/>
    </row>
    <row r="1824" spans="1:10" s="1622" customFormat="1" ht="17.100000000000001" customHeight="1">
      <c r="A1824" s="3250"/>
      <c r="B1824" s="4575"/>
      <c r="C1824" s="4546" t="s">
        <v>797</v>
      </c>
      <c r="D1824" s="4546"/>
      <c r="E1824" s="3135">
        <f>SUM(E1825)</f>
        <v>200000</v>
      </c>
      <c r="F1824" s="2762">
        <f>SUM(F1825)</f>
        <v>100000</v>
      </c>
      <c r="G1824" s="3136">
        <f>SUM(G1825)</f>
        <v>200000</v>
      </c>
      <c r="H1824" s="2756">
        <f t="shared" ref="H1824:H1842" si="126">G1824/F1824</f>
        <v>2</v>
      </c>
      <c r="J1824" s="1370"/>
    </row>
    <row r="1825" spans="1:10" s="1622" customFormat="1" ht="54.75" customHeight="1" thickBot="1">
      <c r="A1825" s="3250"/>
      <c r="B1825" s="4575"/>
      <c r="C1825" s="3253" t="s">
        <v>374</v>
      </c>
      <c r="D1825" s="3254" t="s">
        <v>1203</v>
      </c>
      <c r="E1825" s="3187">
        <v>200000</v>
      </c>
      <c r="F1825" s="2762">
        <v>100000</v>
      </c>
      <c r="G1825" s="3168">
        <v>200000</v>
      </c>
      <c r="H1825" s="2756">
        <f t="shared" si="126"/>
        <v>2</v>
      </c>
      <c r="J1825" s="1370" t="s">
        <v>931</v>
      </c>
    </row>
    <row r="1826" spans="1:10" ht="33.75" hidden="1" customHeight="1" thickBot="1">
      <c r="A1826" s="3223"/>
      <c r="B1826" s="3255" t="s">
        <v>1204</v>
      </c>
      <c r="C1826" s="3256"/>
      <c r="D1826" s="3257" t="s">
        <v>1205</v>
      </c>
      <c r="E1826" s="3258">
        <v>0</v>
      </c>
      <c r="F1826" s="2805"/>
      <c r="G1826" s="3070"/>
      <c r="H1826" s="2807" t="e">
        <f t="shared" si="126"/>
        <v>#DIV/0!</v>
      </c>
    </row>
    <row r="1827" spans="1:10" ht="17.100000000000001" hidden="1" customHeight="1" thickBot="1">
      <c r="A1827" s="3223"/>
      <c r="B1827" s="4560"/>
      <c r="C1827" s="4376" t="s">
        <v>688</v>
      </c>
      <c r="D1827" s="4376"/>
      <c r="E1827" s="2500">
        <v>0</v>
      </c>
      <c r="F1827" s="2805"/>
      <c r="G1827" s="3070"/>
      <c r="H1827" s="2807" t="e">
        <f t="shared" si="126"/>
        <v>#DIV/0!</v>
      </c>
    </row>
    <row r="1828" spans="1:10" ht="17.100000000000001" hidden="1" customHeight="1" thickBot="1">
      <c r="A1828" s="3223"/>
      <c r="B1828" s="4560"/>
      <c r="C1828" s="4562" t="s">
        <v>797</v>
      </c>
      <c r="D1828" s="4562"/>
      <c r="E1828" s="2916">
        <v>0</v>
      </c>
      <c r="F1828" s="2805"/>
      <c r="G1828" s="3070"/>
      <c r="H1828" s="2807" t="e">
        <f t="shared" si="126"/>
        <v>#DIV/0!</v>
      </c>
    </row>
    <row r="1829" spans="1:10" ht="34.5" hidden="1" customHeight="1" thickBot="1">
      <c r="A1829" s="3223"/>
      <c r="B1829" s="4560"/>
      <c r="C1829" s="3259" t="s">
        <v>353</v>
      </c>
      <c r="D1829" s="3172" t="s">
        <v>932</v>
      </c>
      <c r="E1829" s="2916">
        <v>0</v>
      </c>
      <c r="F1829" s="2805"/>
      <c r="G1829" s="3070"/>
      <c r="H1829" s="2807" t="e">
        <f t="shared" si="126"/>
        <v>#DIV/0!</v>
      </c>
    </row>
    <row r="1830" spans="1:10" ht="17.25" hidden="1" customHeight="1" thickBot="1">
      <c r="A1830" s="3223"/>
      <c r="B1830" s="4560"/>
      <c r="C1830" s="4376" t="s">
        <v>744</v>
      </c>
      <c r="D1830" s="4376"/>
      <c r="E1830" s="2845">
        <v>0</v>
      </c>
      <c r="F1830" s="2805"/>
      <c r="G1830" s="3070"/>
      <c r="H1830" s="2807" t="e">
        <f t="shared" si="126"/>
        <v>#DIV/0!</v>
      </c>
    </row>
    <row r="1831" spans="1:10" ht="17.25" hidden="1" customHeight="1" thickBot="1">
      <c r="A1831" s="3223"/>
      <c r="B1831" s="4560"/>
      <c r="C1831" s="4559" t="s">
        <v>745</v>
      </c>
      <c r="D1831" s="4559"/>
      <c r="E1831" s="3124">
        <v>0</v>
      </c>
      <c r="F1831" s="2805"/>
      <c r="G1831" s="3070"/>
      <c r="H1831" s="2807" t="e">
        <f t="shared" si="126"/>
        <v>#DIV/0!</v>
      </c>
    </row>
    <row r="1832" spans="1:10" ht="39.75" hidden="1" customHeight="1" thickBot="1">
      <c r="A1832" s="3223"/>
      <c r="B1832" s="4560"/>
      <c r="C1832" s="3225" t="s">
        <v>880</v>
      </c>
      <c r="D1832" s="3226" t="s">
        <v>881</v>
      </c>
      <c r="E1832" s="3124">
        <v>0</v>
      </c>
      <c r="F1832" s="2805"/>
      <c r="G1832" s="3070"/>
      <c r="H1832" s="3071" t="e">
        <f t="shared" si="126"/>
        <v>#DIV/0!</v>
      </c>
    </row>
    <row r="1833" spans="1:10" s="1622" customFormat="1" ht="17.100000000000001" customHeight="1" thickBot="1">
      <c r="A1833" s="1631"/>
      <c r="B1833" s="1624" t="s">
        <v>1206</v>
      </c>
      <c r="C1833" s="1625"/>
      <c r="D1833" s="1626" t="s">
        <v>594</v>
      </c>
      <c r="E1833" s="1627">
        <f>SUM(E1834,E1873)</f>
        <v>5798639</v>
      </c>
      <c r="F1833" s="1628">
        <f>SUM(F1834,F1873)</f>
        <v>6590018</v>
      </c>
      <c r="G1833" s="1629">
        <f>SUM(G1834,G1873)</f>
        <v>7767063</v>
      </c>
      <c r="H1833" s="1630">
        <f t="shared" si="126"/>
        <v>1.1786102860417074</v>
      </c>
      <c r="J1833" s="1370"/>
    </row>
    <row r="1834" spans="1:10" s="1622" customFormat="1" ht="17.100000000000001" customHeight="1">
      <c r="A1834" s="1631"/>
      <c r="B1834" s="1653"/>
      <c r="C1834" s="4426" t="s">
        <v>688</v>
      </c>
      <c r="D1834" s="4426"/>
      <c r="E1834" s="2506">
        <f>SUM(E1835,E1867,E1870)</f>
        <v>5316403</v>
      </c>
      <c r="F1834" s="1634">
        <f>SUM(F1835,F1867,F1870)</f>
        <v>5829640</v>
      </c>
      <c r="G1834" s="2507">
        <f>SUM(G1835,G1867,G1870)</f>
        <v>6764863</v>
      </c>
      <c r="H1834" s="1636">
        <f t="shared" si="126"/>
        <v>1.1604255151261484</v>
      </c>
      <c r="J1834" s="1370"/>
    </row>
    <row r="1835" spans="1:10" s="1622" customFormat="1" ht="17.100000000000001" customHeight="1">
      <c r="A1835" s="1631"/>
      <c r="B1835" s="1653"/>
      <c r="C1835" s="4546" t="s">
        <v>689</v>
      </c>
      <c r="D1835" s="4546"/>
      <c r="E1835" s="3135">
        <f>SUM(E1836,E1844)</f>
        <v>4501955</v>
      </c>
      <c r="F1835" s="2762">
        <f>SUM(F1836,F1844)</f>
        <v>5015192</v>
      </c>
      <c r="G1835" s="3136">
        <f>SUM(G1836,G1844)</f>
        <v>5798576</v>
      </c>
      <c r="H1835" s="2756">
        <f t="shared" si="126"/>
        <v>1.1562021952499526</v>
      </c>
      <c r="J1835" s="1370"/>
    </row>
    <row r="1836" spans="1:10" s="1622" customFormat="1" ht="17.100000000000001" customHeight="1">
      <c r="A1836" s="1631"/>
      <c r="B1836" s="1653"/>
      <c r="C1836" s="4571" t="s">
        <v>690</v>
      </c>
      <c r="D1836" s="4571"/>
      <c r="E1836" s="3202">
        <f>SUM(E1837:E1842)</f>
        <v>3622234</v>
      </c>
      <c r="F1836" s="3203">
        <f>SUM(F1837:F1842)</f>
        <v>3968812</v>
      </c>
      <c r="G1836" s="3204">
        <f>SUM(G1837:G1842)</f>
        <v>4665569</v>
      </c>
      <c r="H1836" s="3216">
        <f t="shared" si="126"/>
        <v>1.1755580763210753</v>
      </c>
      <c r="J1836" s="1370" t="s">
        <v>931</v>
      </c>
    </row>
    <row r="1837" spans="1:10" s="1622" customFormat="1" ht="17.100000000000001" customHeight="1">
      <c r="A1837" s="1631"/>
      <c r="B1837" s="1653"/>
      <c r="C1837" s="3205" t="s">
        <v>692</v>
      </c>
      <c r="D1837" s="3206" t="s">
        <v>693</v>
      </c>
      <c r="E1837" s="3135">
        <v>2804010</v>
      </c>
      <c r="F1837" s="2762">
        <v>3104028</v>
      </c>
      <c r="G1837" s="3168">
        <v>3631743</v>
      </c>
      <c r="H1837" s="2756">
        <f t="shared" si="126"/>
        <v>1.1700097421801607</v>
      </c>
      <c r="J1837" s="1370"/>
    </row>
    <row r="1838" spans="1:10" s="1622" customFormat="1" ht="17.100000000000001" customHeight="1">
      <c r="A1838" s="1631"/>
      <c r="B1838" s="1653"/>
      <c r="C1838" s="3205" t="s">
        <v>694</v>
      </c>
      <c r="D1838" s="3206" t="s">
        <v>695</v>
      </c>
      <c r="E1838" s="3135">
        <v>196678</v>
      </c>
      <c r="F1838" s="2762">
        <v>196678</v>
      </c>
      <c r="G1838" s="3168">
        <v>231931</v>
      </c>
      <c r="H1838" s="2756">
        <f t="shared" si="126"/>
        <v>1.1792422131605975</v>
      </c>
      <c r="J1838" s="1370"/>
    </row>
    <row r="1839" spans="1:10" s="1622" customFormat="1" ht="17.100000000000001" customHeight="1">
      <c r="A1839" s="1631"/>
      <c r="B1839" s="1653"/>
      <c r="C1839" s="3205" t="s">
        <v>696</v>
      </c>
      <c r="D1839" s="3206" t="s">
        <v>697</v>
      </c>
      <c r="E1839" s="3135">
        <v>502038</v>
      </c>
      <c r="F1839" s="2762">
        <v>553850</v>
      </c>
      <c r="G1839" s="3168">
        <v>654705</v>
      </c>
      <c r="H1839" s="2756">
        <f t="shared" si="126"/>
        <v>1.1820980409858264</v>
      </c>
      <c r="J1839" s="1370"/>
    </row>
    <row r="1840" spans="1:10" s="1622" customFormat="1" ht="16.5" customHeight="1">
      <c r="A1840" s="1631"/>
      <c r="B1840" s="1653"/>
      <c r="C1840" s="3205" t="s">
        <v>698</v>
      </c>
      <c r="D1840" s="3206" t="s">
        <v>699</v>
      </c>
      <c r="E1840" s="3135">
        <v>62382</v>
      </c>
      <c r="F1840" s="2762">
        <v>69732</v>
      </c>
      <c r="G1840" s="3168">
        <v>92927</v>
      </c>
      <c r="H1840" s="2756">
        <f t="shared" si="126"/>
        <v>1.3326306430333277</v>
      </c>
      <c r="J1840" s="1370"/>
    </row>
    <row r="1841" spans="1:10" s="1622" customFormat="1" ht="17.100000000000001" customHeight="1">
      <c r="A1841" s="1631"/>
      <c r="B1841" s="1653"/>
      <c r="C1841" s="2471" t="s">
        <v>700</v>
      </c>
      <c r="D1841" s="2458" t="s">
        <v>701</v>
      </c>
      <c r="E1841" s="3135">
        <v>32400</v>
      </c>
      <c r="F1841" s="2762">
        <v>15900</v>
      </c>
      <c r="G1841" s="3168">
        <v>14400</v>
      </c>
      <c r="H1841" s="2756">
        <f t="shared" si="126"/>
        <v>0.90566037735849059</v>
      </c>
      <c r="J1841" s="1370"/>
    </row>
    <row r="1842" spans="1:10" s="1622" customFormat="1" ht="17.100000000000001" customHeight="1">
      <c r="A1842" s="1631"/>
      <c r="B1842" s="1653"/>
      <c r="C1842" s="2483" t="s">
        <v>702</v>
      </c>
      <c r="D1842" s="3231" t="s">
        <v>703</v>
      </c>
      <c r="E1842" s="3135">
        <v>24726</v>
      </c>
      <c r="F1842" s="2762">
        <v>28624</v>
      </c>
      <c r="G1842" s="3168">
        <v>39863</v>
      </c>
      <c r="H1842" s="2756">
        <f t="shared" si="126"/>
        <v>1.3926425377305758</v>
      </c>
      <c r="J1842" s="1370"/>
    </row>
    <row r="1843" spans="1:10" ht="14.25" customHeight="1">
      <c r="A1843" s="1556"/>
      <c r="B1843" s="1750"/>
      <c r="C1843" s="2366"/>
      <c r="D1843" s="2366"/>
      <c r="E1843" s="2367"/>
      <c r="F1843" s="2805"/>
      <c r="G1843" s="3070"/>
      <c r="H1843" s="2807"/>
    </row>
    <row r="1844" spans="1:10" ht="17.100000000000001" customHeight="1">
      <c r="A1844" s="1556"/>
      <c r="B1844" s="1750"/>
      <c r="C1844" s="4572" t="s">
        <v>704</v>
      </c>
      <c r="D1844" s="4572"/>
      <c r="E1844" s="2907">
        <f>SUM(E1845:E1865)</f>
        <v>879721</v>
      </c>
      <c r="F1844" s="2865">
        <f>SUM(F1845:F1865)</f>
        <v>1046380</v>
      </c>
      <c r="G1844" s="3078">
        <f>SUM(G1845:G1865)</f>
        <v>1133007</v>
      </c>
      <c r="H1844" s="2867">
        <f t="shared" ref="H1844:H1865" si="127">G1844/F1844</f>
        <v>1.0827873239167416</v>
      </c>
      <c r="J1844" s="1370" t="s">
        <v>931</v>
      </c>
    </row>
    <row r="1845" spans="1:10" s="1622" customFormat="1" ht="17.100000000000001" customHeight="1">
      <c r="A1845" s="1631"/>
      <c r="B1845" s="1653"/>
      <c r="C1845" s="3260" t="s">
        <v>705</v>
      </c>
      <c r="D1845" s="3060" t="s">
        <v>706</v>
      </c>
      <c r="E1845" s="2900">
        <v>7646</v>
      </c>
      <c r="F1845" s="2790">
        <v>7646</v>
      </c>
      <c r="G1845" s="3056">
        <v>15037</v>
      </c>
      <c r="H1845" s="2792">
        <f t="shared" si="127"/>
        <v>1.9666492283546952</v>
      </c>
      <c r="J1845" s="1370"/>
    </row>
    <row r="1846" spans="1:10" ht="17.100000000000001" customHeight="1">
      <c r="A1846" s="1556"/>
      <c r="B1846" s="1750"/>
      <c r="C1846" s="3260" t="s">
        <v>810</v>
      </c>
      <c r="D1846" s="3060" t="s">
        <v>777</v>
      </c>
      <c r="E1846" s="2900">
        <v>23000</v>
      </c>
      <c r="F1846" s="2790">
        <v>23000</v>
      </c>
      <c r="G1846" s="3056">
        <v>0</v>
      </c>
      <c r="H1846" s="2792">
        <f t="shared" si="127"/>
        <v>0</v>
      </c>
    </row>
    <row r="1847" spans="1:10" s="1622" customFormat="1" ht="17.100000000000001" customHeight="1">
      <c r="A1847" s="1631"/>
      <c r="B1847" s="1653"/>
      <c r="C1847" s="3260" t="s">
        <v>707</v>
      </c>
      <c r="D1847" s="3060" t="s">
        <v>708</v>
      </c>
      <c r="E1847" s="2900">
        <v>150995</v>
      </c>
      <c r="F1847" s="2790">
        <v>174601</v>
      </c>
      <c r="G1847" s="3056">
        <v>216112</v>
      </c>
      <c r="H1847" s="2792">
        <f t="shared" si="127"/>
        <v>1.2377477792223412</v>
      </c>
      <c r="J1847" s="1370"/>
    </row>
    <row r="1848" spans="1:10" s="1622" customFormat="1" ht="17.100000000000001" customHeight="1">
      <c r="A1848" s="1631"/>
      <c r="B1848" s="1653"/>
      <c r="C1848" s="3260" t="s">
        <v>709</v>
      </c>
      <c r="D1848" s="3060" t="s">
        <v>710</v>
      </c>
      <c r="E1848" s="2900">
        <v>4619</v>
      </c>
      <c r="F1848" s="2790">
        <v>4619</v>
      </c>
      <c r="G1848" s="3056">
        <v>5592</v>
      </c>
      <c r="H1848" s="2792">
        <f t="shared" si="127"/>
        <v>1.2106516562026413</v>
      </c>
      <c r="J1848" s="1370"/>
    </row>
    <row r="1849" spans="1:10" s="1622" customFormat="1" ht="17.100000000000001" customHeight="1">
      <c r="A1849" s="1631"/>
      <c r="B1849" s="1653"/>
      <c r="C1849" s="3260" t="s">
        <v>711</v>
      </c>
      <c r="D1849" s="3060" t="s">
        <v>712</v>
      </c>
      <c r="E1849" s="2900">
        <v>102486</v>
      </c>
      <c r="F1849" s="2790">
        <v>102486</v>
      </c>
      <c r="G1849" s="3056">
        <v>132039</v>
      </c>
      <c r="H1849" s="2792">
        <f t="shared" si="127"/>
        <v>1.2883613371582461</v>
      </c>
      <c r="J1849" s="1370"/>
    </row>
    <row r="1850" spans="1:10" s="1622" customFormat="1" ht="17.100000000000001" customHeight="1" thickBot="1">
      <c r="A1850" s="1673"/>
      <c r="B1850" s="1890"/>
      <c r="C1850" s="3261" t="s">
        <v>713</v>
      </c>
      <c r="D1850" s="3262" t="s">
        <v>714</v>
      </c>
      <c r="E1850" s="2800">
        <v>111996</v>
      </c>
      <c r="F1850" s="1538">
        <v>140496</v>
      </c>
      <c r="G1850" s="2747">
        <v>166884</v>
      </c>
      <c r="H1850" s="1540">
        <f t="shared" si="127"/>
        <v>1.1878202938161941</v>
      </c>
      <c r="J1850" s="1370"/>
    </row>
    <row r="1851" spans="1:10" s="1622" customFormat="1" ht="17.100000000000001" customHeight="1">
      <c r="A1851" s="1623"/>
      <c r="B1851" s="1894"/>
      <c r="C1851" s="3042" t="s">
        <v>715</v>
      </c>
      <c r="D1851" s="2974" t="s">
        <v>716</v>
      </c>
      <c r="E1851" s="2975">
        <v>5880</v>
      </c>
      <c r="F1851" s="1528">
        <v>5880</v>
      </c>
      <c r="G1851" s="1587">
        <v>4350</v>
      </c>
      <c r="H1851" s="1530">
        <f t="shared" si="127"/>
        <v>0.73979591836734693</v>
      </c>
      <c r="J1851" s="1370"/>
    </row>
    <row r="1852" spans="1:10" s="1622" customFormat="1" ht="17.100000000000001" customHeight="1">
      <c r="A1852" s="1653"/>
      <c r="B1852" s="1653"/>
      <c r="C1852" s="3079" t="s">
        <v>717</v>
      </c>
      <c r="D1852" s="3263" t="s">
        <v>718</v>
      </c>
      <c r="E1852" s="2900">
        <v>258388</v>
      </c>
      <c r="F1852" s="2790">
        <v>369888</v>
      </c>
      <c r="G1852" s="3056">
        <v>347875</v>
      </c>
      <c r="H1852" s="2792">
        <f t="shared" si="127"/>
        <v>0.9404873907777489</v>
      </c>
      <c r="J1852" s="1370"/>
    </row>
    <row r="1853" spans="1:10" s="1622" customFormat="1" ht="16.5" customHeight="1">
      <c r="A1853" s="1631"/>
      <c r="B1853" s="1653"/>
      <c r="C1853" s="1472" t="s">
        <v>719</v>
      </c>
      <c r="D1853" s="2965" t="s">
        <v>720</v>
      </c>
      <c r="E1853" s="2954">
        <v>14569</v>
      </c>
      <c r="F1853" s="1451">
        <v>14569</v>
      </c>
      <c r="G1853" s="2617">
        <v>19308</v>
      </c>
      <c r="H1853" s="1453">
        <f t="shared" si="127"/>
        <v>1.3252797034799917</v>
      </c>
      <c r="J1853" s="1370"/>
    </row>
    <row r="1854" spans="1:10" ht="16.5" hidden="1" customHeight="1">
      <c r="A1854" s="1556"/>
      <c r="B1854" s="1750"/>
      <c r="C1854" s="2952" t="s">
        <v>900</v>
      </c>
      <c r="D1854" s="2953" t="s">
        <v>901</v>
      </c>
      <c r="E1854" s="2900">
        <v>0</v>
      </c>
      <c r="F1854" s="2790"/>
      <c r="G1854" s="3056"/>
      <c r="H1854" s="2792"/>
    </row>
    <row r="1855" spans="1:10" ht="16.5" customHeight="1">
      <c r="A1855" s="1750"/>
      <c r="B1855" s="1750"/>
      <c r="C1855" s="3079" t="s">
        <v>721</v>
      </c>
      <c r="D1855" s="3263" t="s">
        <v>722</v>
      </c>
      <c r="E1855" s="2900">
        <v>32538</v>
      </c>
      <c r="F1855" s="2790">
        <v>32538</v>
      </c>
      <c r="G1855" s="3056">
        <v>32132</v>
      </c>
      <c r="H1855" s="2792">
        <f t="shared" si="127"/>
        <v>0.98752228163992872</v>
      </c>
    </row>
    <row r="1856" spans="1:10" ht="25.5" hidden="1" customHeight="1">
      <c r="A1856" s="1556"/>
      <c r="B1856" s="1750"/>
      <c r="C1856" s="2952" t="s">
        <v>723</v>
      </c>
      <c r="D1856" s="2953" t="s">
        <v>724</v>
      </c>
      <c r="E1856" s="2954">
        <v>0</v>
      </c>
      <c r="F1856" s="2790"/>
      <c r="G1856" s="3056"/>
      <c r="H1856" s="2792"/>
    </row>
    <row r="1857" spans="1:10" s="1622" customFormat="1" ht="17.100000000000001" customHeight="1">
      <c r="A1857" s="1631"/>
      <c r="B1857" s="1653"/>
      <c r="C1857" s="3264" t="s">
        <v>725</v>
      </c>
      <c r="D1857" s="3060" t="s">
        <v>726</v>
      </c>
      <c r="E1857" s="2900">
        <v>11015</v>
      </c>
      <c r="F1857" s="2790">
        <v>11015</v>
      </c>
      <c r="G1857" s="3056">
        <v>12000</v>
      </c>
      <c r="H1857" s="2792">
        <f t="shared" si="127"/>
        <v>1.0894235133908308</v>
      </c>
      <c r="J1857" s="1370"/>
    </row>
    <row r="1858" spans="1:10" ht="17.100000000000001" customHeight="1">
      <c r="A1858" s="1750"/>
      <c r="B1858" s="1750"/>
      <c r="C1858" s="3079" t="s">
        <v>865</v>
      </c>
      <c r="D1858" s="3263" t="s">
        <v>866</v>
      </c>
      <c r="E1858" s="2900">
        <v>2000</v>
      </c>
      <c r="F1858" s="2790">
        <v>2000</v>
      </c>
      <c r="G1858" s="3056">
        <v>3000</v>
      </c>
      <c r="H1858" s="2792">
        <f t="shared" si="127"/>
        <v>1.5</v>
      </c>
    </row>
    <row r="1859" spans="1:10" s="1622" customFormat="1" ht="17.100000000000001" customHeight="1">
      <c r="A1859" s="1631"/>
      <c r="B1859" s="1653"/>
      <c r="C1859" s="2471" t="s">
        <v>727</v>
      </c>
      <c r="D1859" s="2458" t="s">
        <v>728</v>
      </c>
      <c r="E1859" s="2459">
        <v>8181</v>
      </c>
      <c r="F1859" s="1859">
        <v>8181</v>
      </c>
      <c r="G1859" s="2558">
        <v>18037</v>
      </c>
      <c r="H1859" s="1659">
        <f t="shared" si="127"/>
        <v>2.2047426964918713</v>
      </c>
      <c r="J1859" s="1370"/>
    </row>
    <row r="1860" spans="1:10" s="1622" customFormat="1" ht="17.100000000000001" customHeight="1">
      <c r="A1860" s="1631"/>
      <c r="B1860" s="1653"/>
      <c r="C1860" s="3205" t="s">
        <v>729</v>
      </c>
      <c r="D1860" s="3206" t="s">
        <v>730</v>
      </c>
      <c r="E1860" s="3135">
        <v>93437</v>
      </c>
      <c r="F1860" s="2762">
        <v>93437</v>
      </c>
      <c r="G1860" s="3168">
        <v>91741</v>
      </c>
      <c r="H1860" s="2756">
        <f t="shared" si="127"/>
        <v>0.98184873230090863</v>
      </c>
      <c r="J1860" s="1370"/>
    </row>
    <row r="1861" spans="1:10" s="1622" customFormat="1" ht="17.100000000000001" customHeight="1">
      <c r="A1861" s="1631"/>
      <c r="B1861" s="1653"/>
      <c r="C1861" s="3205" t="s">
        <v>731</v>
      </c>
      <c r="D1861" s="3206" t="s">
        <v>732</v>
      </c>
      <c r="E1861" s="3135">
        <v>18052</v>
      </c>
      <c r="F1861" s="2762">
        <v>18052</v>
      </c>
      <c r="G1861" s="3168">
        <v>22640</v>
      </c>
      <c r="H1861" s="2756">
        <f t="shared" si="127"/>
        <v>1.2541546643031243</v>
      </c>
      <c r="J1861" s="1370"/>
    </row>
    <row r="1862" spans="1:10" s="1622" customFormat="1" ht="17.100000000000001" customHeight="1">
      <c r="A1862" s="1631"/>
      <c r="B1862" s="1653"/>
      <c r="C1862" s="3205" t="s">
        <v>735</v>
      </c>
      <c r="D1862" s="3206" t="s">
        <v>736</v>
      </c>
      <c r="E1862" s="3135">
        <v>16419</v>
      </c>
      <c r="F1862" s="2762">
        <v>16419</v>
      </c>
      <c r="G1862" s="3168">
        <v>20830</v>
      </c>
      <c r="H1862" s="2756">
        <f t="shared" si="127"/>
        <v>1.2686521712649979</v>
      </c>
      <c r="J1862" s="1370"/>
    </row>
    <row r="1863" spans="1:10" s="1622" customFormat="1" ht="17.100000000000001" customHeight="1">
      <c r="A1863" s="1631"/>
      <c r="B1863" s="1653"/>
      <c r="C1863" s="3166" t="s">
        <v>737</v>
      </c>
      <c r="D1863" s="3206" t="s">
        <v>738</v>
      </c>
      <c r="E1863" s="3135">
        <v>2500</v>
      </c>
      <c r="F1863" s="2762">
        <v>2500</v>
      </c>
      <c r="G1863" s="3168">
        <v>2500</v>
      </c>
      <c r="H1863" s="2756">
        <f t="shared" si="127"/>
        <v>1</v>
      </c>
      <c r="J1863" s="1370"/>
    </row>
    <row r="1864" spans="1:10" s="1622" customFormat="1" ht="17.100000000000001" customHeight="1">
      <c r="A1864" s="1631"/>
      <c r="B1864" s="1653"/>
      <c r="C1864" s="1664" t="s">
        <v>815</v>
      </c>
      <c r="D1864" s="3206" t="s">
        <v>816</v>
      </c>
      <c r="E1864" s="3135">
        <v>600</v>
      </c>
      <c r="F1864" s="2762">
        <v>3653</v>
      </c>
      <c r="G1864" s="3168">
        <v>1600</v>
      </c>
      <c r="H1864" s="2756">
        <f t="shared" si="127"/>
        <v>0.4379961675335341</v>
      </c>
      <c r="J1864" s="1370"/>
    </row>
    <row r="1865" spans="1:10" s="1622" customFormat="1" ht="18" customHeight="1">
      <c r="A1865" s="1631"/>
      <c r="B1865" s="1653"/>
      <c r="C1865" s="3199" t="s">
        <v>739</v>
      </c>
      <c r="D1865" s="3200" t="s">
        <v>740</v>
      </c>
      <c r="E1865" s="3135">
        <v>15400</v>
      </c>
      <c r="F1865" s="2762">
        <v>15400</v>
      </c>
      <c r="G1865" s="3168">
        <v>21330</v>
      </c>
      <c r="H1865" s="2756">
        <f t="shared" si="127"/>
        <v>1.3850649350649351</v>
      </c>
      <c r="J1865" s="1370"/>
    </row>
    <row r="1866" spans="1:10" ht="17.100000000000001" customHeight="1">
      <c r="A1866" s="1556"/>
      <c r="B1866" s="1750"/>
      <c r="C1866" s="3100"/>
      <c r="D1866" s="3265"/>
      <c r="E1866" s="3100"/>
      <c r="F1866" s="2805"/>
      <c r="G1866" s="3070"/>
      <c r="H1866" s="2807"/>
    </row>
    <row r="1867" spans="1:10" s="1622" customFormat="1" ht="17.100000000000001" customHeight="1">
      <c r="A1867" s="1631"/>
      <c r="B1867" s="1653"/>
      <c r="C1867" s="4436" t="s">
        <v>797</v>
      </c>
      <c r="D1867" s="4436"/>
      <c r="E1867" s="2459">
        <f>SUM(E1868)</f>
        <v>800000</v>
      </c>
      <c r="F1867" s="1859">
        <f>SUM(F1868)</f>
        <v>800000</v>
      </c>
      <c r="G1867" s="2537">
        <f>SUM(G1868)</f>
        <v>950000</v>
      </c>
      <c r="H1867" s="2756">
        <f>G1867/F1867</f>
        <v>1.1875</v>
      </c>
      <c r="J1867" s="1370" t="s">
        <v>931</v>
      </c>
    </row>
    <row r="1868" spans="1:10" s="1622" customFormat="1" ht="53.25" customHeight="1">
      <c r="A1868" s="1631"/>
      <c r="B1868" s="1653"/>
      <c r="C1868" s="3205" t="s">
        <v>374</v>
      </c>
      <c r="D1868" s="3206" t="s">
        <v>817</v>
      </c>
      <c r="E1868" s="3135">
        <v>800000</v>
      </c>
      <c r="F1868" s="2762">
        <v>800000</v>
      </c>
      <c r="G1868" s="3168">
        <v>950000</v>
      </c>
      <c r="H1868" s="2756">
        <f>G1868/F1868</f>
        <v>1.1875</v>
      </c>
      <c r="J1868" s="1370"/>
    </row>
    <row r="1869" spans="1:10" ht="15" customHeight="1">
      <c r="A1869" s="1556"/>
      <c r="B1869" s="1750"/>
      <c r="C1869" s="2366"/>
      <c r="D1869" s="2366"/>
      <c r="E1869" s="2367"/>
      <c r="F1869" s="2805"/>
      <c r="G1869" s="3070"/>
      <c r="H1869" s="2807"/>
    </row>
    <row r="1870" spans="1:10" s="1622" customFormat="1" ht="17.100000000000001" customHeight="1">
      <c r="A1870" s="1631"/>
      <c r="B1870" s="2520"/>
      <c r="C1870" s="4549" t="s">
        <v>741</v>
      </c>
      <c r="D1870" s="4549"/>
      <c r="E1870" s="3187">
        <f>SUM(E1871)</f>
        <v>14448</v>
      </c>
      <c r="F1870" s="3188">
        <f>SUM(F1871)</f>
        <v>14448</v>
      </c>
      <c r="G1870" s="3189">
        <f>SUM(G1871)</f>
        <v>16287</v>
      </c>
      <c r="H1870" s="2756">
        <f>G1870/F1870</f>
        <v>1.1272840531561461</v>
      </c>
      <c r="J1870" s="1370" t="s">
        <v>931</v>
      </c>
    </row>
    <row r="1871" spans="1:10" s="1622" customFormat="1" ht="17.25" customHeight="1">
      <c r="A1871" s="1631"/>
      <c r="B1871" s="2520"/>
      <c r="C1871" s="3205" t="s">
        <v>742</v>
      </c>
      <c r="D1871" s="3206" t="s">
        <v>743</v>
      </c>
      <c r="E1871" s="3234">
        <v>14448</v>
      </c>
      <c r="F1871" s="2762">
        <v>14448</v>
      </c>
      <c r="G1871" s="3168">
        <v>16287</v>
      </c>
      <c r="H1871" s="2756">
        <f>G1871/F1871</f>
        <v>1.1272840531561461</v>
      </c>
      <c r="J1871" s="1370"/>
    </row>
    <row r="1872" spans="1:10" ht="16.5" customHeight="1">
      <c r="A1872" s="1556"/>
      <c r="B1872" s="3266"/>
      <c r="C1872" s="3267"/>
      <c r="D1872" s="3268"/>
      <c r="E1872" s="1828"/>
      <c r="F1872" s="2805"/>
      <c r="G1872" s="3070"/>
      <c r="H1872" s="2807"/>
    </row>
    <row r="1873" spans="1:10" s="1622" customFormat="1" ht="17.25" customHeight="1">
      <c r="A1873" s="1631"/>
      <c r="B1873" s="2520"/>
      <c r="C1873" s="4568" t="s">
        <v>744</v>
      </c>
      <c r="D1873" s="4568"/>
      <c r="E1873" s="3155">
        <f t="shared" ref="E1873:G1874" si="128">SUM(E1874)</f>
        <v>482236</v>
      </c>
      <c r="F1873" s="2784">
        <f t="shared" si="128"/>
        <v>760378</v>
      </c>
      <c r="G1873" s="3157">
        <f t="shared" si="128"/>
        <v>1002200</v>
      </c>
      <c r="H1873" s="2782">
        <f t="shared" ref="H1873:H2001" si="129">G1873/F1873</f>
        <v>1.3180286646904567</v>
      </c>
      <c r="J1873" s="1370" t="s">
        <v>931</v>
      </c>
    </row>
    <row r="1874" spans="1:10" s="1622" customFormat="1" ht="17.25" customHeight="1">
      <c r="A1874" s="1631"/>
      <c r="B1874" s="2520"/>
      <c r="C1874" s="4569" t="s">
        <v>745</v>
      </c>
      <c r="D1874" s="4570"/>
      <c r="E1874" s="3269">
        <f t="shared" si="128"/>
        <v>482236</v>
      </c>
      <c r="F1874" s="3270">
        <f>SUM(F1875:F1876)</f>
        <v>760378</v>
      </c>
      <c r="G1874" s="3270">
        <f>SUM(G1875:G1876)</f>
        <v>1002200</v>
      </c>
      <c r="H1874" s="2756">
        <f t="shared" si="129"/>
        <v>1.3180286646904567</v>
      </c>
      <c r="J1874" s="1370"/>
    </row>
    <row r="1875" spans="1:10" s="1622" customFormat="1" ht="16.5" customHeight="1">
      <c r="A1875" s="1631"/>
      <c r="B1875" s="2520"/>
      <c r="C1875" s="3271" t="s">
        <v>755</v>
      </c>
      <c r="D1875" s="1889" t="s">
        <v>747</v>
      </c>
      <c r="E1875" s="3269">
        <v>482236</v>
      </c>
      <c r="F1875" s="2762">
        <v>482236</v>
      </c>
      <c r="G1875" s="3145">
        <v>711000</v>
      </c>
      <c r="H1875" s="2756">
        <f t="shared" si="129"/>
        <v>1.4743818379382709</v>
      </c>
      <c r="J1875" s="1370"/>
    </row>
    <row r="1876" spans="1:10" s="1622" customFormat="1" ht="16.5" customHeight="1" thickBot="1">
      <c r="A1876" s="1631"/>
      <c r="B1876" s="2520"/>
      <c r="C1876" s="3219" t="s">
        <v>746</v>
      </c>
      <c r="D1876" s="1889" t="s">
        <v>801</v>
      </c>
      <c r="E1876" s="2459"/>
      <c r="F1876" s="1859">
        <v>278142</v>
      </c>
      <c r="G1876" s="1860">
        <v>291200</v>
      </c>
      <c r="H1876" s="2756">
        <f t="shared" si="129"/>
        <v>1.0469472427752731</v>
      </c>
      <c r="J1876" s="1370"/>
    </row>
    <row r="1877" spans="1:10" s="1622" customFormat="1" ht="17.100000000000001" customHeight="1" thickBot="1">
      <c r="A1877" s="1631"/>
      <c r="B1877" s="1624" t="s">
        <v>1207</v>
      </c>
      <c r="C1877" s="1625"/>
      <c r="D1877" s="1626" t="s">
        <v>1208</v>
      </c>
      <c r="E1877" s="1627">
        <f>SUM(E1878,E1970)</f>
        <v>5798639</v>
      </c>
      <c r="F1877" s="1628">
        <f>SUM(F1878,F1970)</f>
        <v>0</v>
      </c>
      <c r="G1877" s="1629">
        <f>SUM(G1878,G1970)</f>
        <v>21431283</v>
      </c>
      <c r="H1877" s="1630"/>
      <c r="J1877" s="1370"/>
    </row>
    <row r="1878" spans="1:10" s="1622" customFormat="1" ht="17.100000000000001" customHeight="1">
      <c r="A1878" s="1631"/>
      <c r="B1878" s="1653"/>
      <c r="C1878" s="4426" t="s">
        <v>688</v>
      </c>
      <c r="D1878" s="4426"/>
      <c r="E1878" s="2506">
        <f>SUM(E1879,E1911,E1914)</f>
        <v>5316403</v>
      </c>
      <c r="F1878" s="1634">
        <f>SUM(F1879,F1911,F1914,F1916)</f>
        <v>0</v>
      </c>
      <c r="G1878" s="1634">
        <f>SUM(G1879,G1911,G1914,G1916)</f>
        <v>21431283</v>
      </c>
      <c r="H1878" s="1636"/>
      <c r="J1878" s="1370"/>
    </row>
    <row r="1879" spans="1:10" s="1622" customFormat="1" ht="17.100000000000001" hidden="1" customHeight="1">
      <c r="A1879" s="1631"/>
      <c r="B1879" s="1653"/>
      <c r="C1879" s="4546" t="s">
        <v>689</v>
      </c>
      <c r="D1879" s="4546"/>
      <c r="E1879" s="3135">
        <f>SUM(E1880,E1888)</f>
        <v>4501955</v>
      </c>
      <c r="F1879" s="2762">
        <f>SUM(F1880,F1888)</f>
        <v>0</v>
      </c>
      <c r="G1879" s="3136">
        <f>SUM(G1880,G1888)</f>
        <v>0</v>
      </c>
      <c r="H1879" s="2756" t="e">
        <f t="shared" si="129"/>
        <v>#DIV/0!</v>
      </c>
      <c r="J1879" s="1370"/>
    </row>
    <row r="1880" spans="1:10" s="1622" customFormat="1" ht="17.100000000000001" hidden="1" customHeight="1">
      <c r="A1880" s="1631"/>
      <c r="B1880" s="1653"/>
      <c r="C1880" s="4571" t="s">
        <v>690</v>
      </c>
      <c r="D1880" s="4571"/>
      <c r="E1880" s="3202">
        <f>SUM(E1881:E1886)</f>
        <v>3622234</v>
      </c>
      <c r="F1880" s="3203">
        <f>SUM(F1881:F1886)</f>
        <v>0</v>
      </c>
      <c r="G1880" s="3204">
        <f>SUM(G1881:G1886)</f>
        <v>0</v>
      </c>
      <c r="H1880" s="3216" t="e">
        <f t="shared" si="129"/>
        <v>#DIV/0!</v>
      </c>
      <c r="J1880" s="1370"/>
    </row>
    <row r="1881" spans="1:10" s="1622" customFormat="1" ht="17.100000000000001" hidden="1" customHeight="1">
      <c r="A1881" s="1631"/>
      <c r="B1881" s="1653"/>
      <c r="C1881" s="3205" t="s">
        <v>692</v>
      </c>
      <c r="D1881" s="3206" t="s">
        <v>693</v>
      </c>
      <c r="E1881" s="3135">
        <v>2804010</v>
      </c>
      <c r="F1881" s="2762"/>
      <c r="G1881" s="3168"/>
      <c r="H1881" s="2756" t="e">
        <f t="shared" si="129"/>
        <v>#DIV/0!</v>
      </c>
      <c r="J1881" s="1370"/>
    </row>
    <row r="1882" spans="1:10" s="1622" customFormat="1" ht="17.100000000000001" hidden="1" customHeight="1">
      <c r="A1882" s="1631"/>
      <c r="B1882" s="1653"/>
      <c r="C1882" s="3205" t="s">
        <v>694</v>
      </c>
      <c r="D1882" s="3206" t="s">
        <v>695</v>
      </c>
      <c r="E1882" s="3135">
        <v>196678</v>
      </c>
      <c r="F1882" s="2762"/>
      <c r="G1882" s="3168"/>
      <c r="H1882" s="2756" t="e">
        <f t="shared" si="129"/>
        <v>#DIV/0!</v>
      </c>
      <c r="J1882" s="1370"/>
    </row>
    <row r="1883" spans="1:10" s="1622" customFormat="1" ht="17.100000000000001" hidden="1" customHeight="1">
      <c r="A1883" s="1631"/>
      <c r="B1883" s="1653"/>
      <c r="C1883" s="3205" t="s">
        <v>696</v>
      </c>
      <c r="D1883" s="3206" t="s">
        <v>697</v>
      </c>
      <c r="E1883" s="3135">
        <v>502038</v>
      </c>
      <c r="F1883" s="2762"/>
      <c r="G1883" s="3168"/>
      <c r="H1883" s="2756" t="e">
        <f t="shared" si="129"/>
        <v>#DIV/0!</v>
      </c>
      <c r="J1883" s="1370"/>
    </row>
    <row r="1884" spans="1:10" s="1622" customFormat="1" ht="16.5" hidden="1" customHeight="1">
      <c r="A1884" s="1631"/>
      <c r="B1884" s="1653"/>
      <c r="C1884" s="3205" t="s">
        <v>698</v>
      </c>
      <c r="D1884" s="3206" t="s">
        <v>699</v>
      </c>
      <c r="E1884" s="3135">
        <v>62382</v>
      </c>
      <c r="F1884" s="2762"/>
      <c r="G1884" s="3168"/>
      <c r="H1884" s="2756" t="e">
        <f t="shared" si="129"/>
        <v>#DIV/0!</v>
      </c>
      <c r="J1884" s="1370"/>
    </row>
    <row r="1885" spans="1:10" s="1622" customFormat="1" ht="17.100000000000001" hidden="1" customHeight="1">
      <c r="A1885" s="1631"/>
      <c r="B1885" s="1653"/>
      <c r="C1885" s="2471" t="s">
        <v>700</v>
      </c>
      <c r="D1885" s="2458" t="s">
        <v>701</v>
      </c>
      <c r="E1885" s="3135">
        <v>32400</v>
      </c>
      <c r="F1885" s="2762"/>
      <c r="G1885" s="3168"/>
      <c r="H1885" s="2756" t="e">
        <f t="shared" si="129"/>
        <v>#DIV/0!</v>
      </c>
      <c r="J1885" s="1370"/>
    </row>
    <row r="1886" spans="1:10" s="1622" customFormat="1" ht="17.100000000000001" hidden="1" customHeight="1">
      <c r="A1886" s="1631"/>
      <c r="B1886" s="1653"/>
      <c r="C1886" s="2483" t="s">
        <v>702</v>
      </c>
      <c r="D1886" s="3231" t="s">
        <v>703</v>
      </c>
      <c r="E1886" s="3135">
        <v>24726</v>
      </c>
      <c r="F1886" s="2762"/>
      <c r="G1886" s="3168"/>
      <c r="H1886" s="2756" t="e">
        <f t="shared" si="129"/>
        <v>#DIV/0!</v>
      </c>
      <c r="J1886" s="1370"/>
    </row>
    <row r="1887" spans="1:10" ht="14.25" hidden="1" customHeight="1">
      <c r="A1887" s="1556"/>
      <c r="B1887" s="1750"/>
      <c r="C1887" s="2366"/>
      <c r="D1887" s="2366"/>
      <c r="E1887" s="2367"/>
      <c r="F1887" s="2805"/>
      <c r="G1887" s="3070"/>
      <c r="H1887" s="2807"/>
    </row>
    <row r="1888" spans="1:10" ht="17.100000000000001" hidden="1" customHeight="1">
      <c r="A1888" s="1556"/>
      <c r="B1888" s="1750"/>
      <c r="C1888" s="4572" t="s">
        <v>704</v>
      </c>
      <c r="D1888" s="4572"/>
      <c r="E1888" s="2907">
        <f>SUM(E1889:E1909)</f>
        <v>879721</v>
      </c>
      <c r="F1888" s="2865">
        <f>SUM(F1889:F1909)</f>
        <v>0</v>
      </c>
      <c r="G1888" s="3078">
        <f>SUM(G1889:G1909)</f>
        <v>0</v>
      </c>
      <c r="H1888" s="2867" t="e">
        <f t="shared" ref="H1888:H1909" si="130">G1888/F1888</f>
        <v>#DIV/0!</v>
      </c>
    </row>
    <row r="1889" spans="1:10" s="1622" customFormat="1" ht="17.100000000000001" hidden="1" customHeight="1">
      <c r="A1889" s="1631"/>
      <c r="B1889" s="1653"/>
      <c r="C1889" s="3260" t="s">
        <v>705</v>
      </c>
      <c r="D1889" s="3060" t="s">
        <v>706</v>
      </c>
      <c r="E1889" s="2900">
        <v>7646</v>
      </c>
      <c r="F1889" s="2790"/>
      <c r="G1889" s="3056"/>
      <c r="H1889" s="2792" t="e">
        <f t="shared" si="130"/>
        <v>#DIV/0!</v>
      </c>
      <c r="J1889" s="1370"/>
    </row>
    <row r="1890" spans="1:10" ht="17.100000000000001" hidden="1" customHeight="1">
      <c r="A1890" s="1556"/>
      <c r="B1890" s="1750"/>
      <c r="C1890" s="3260" t="s">
        <v>810</v>
      </c>
      <c r="D1890" s="3060" t="s">
        <v>777</v>
      </c>
      <c r="E1890" s="2900">
        <v>23000</v>
      </c>
      <c r="F1890" s="2790"/>
      <c r="G1890" s="3056"/>
      <c r="H1890" s="2792" t="e">
        <f t="shared" si="130"/>
        <v>#DIV/0!</v>
      </c>
    </row>
    <row r="1891" spans="1:10" s="1622" customFormat="1" ht="17.100000000000001" hidden="1" customHeight="1">
      <c r="A1891" s="1631"/>
      <c r="B1891" s="1653"/>
      <c r="C1891" s="3260" t="s">
        <v>707</v>
      </c>
      <c r="D1891" s="3060" t="s">
        <v>708</v>
      </c>
      <c r="E1891" s="2900">
        <v>150995</v>
      </c>
      <c r="F1891" s="2790"/>
      <c r="G1891" s="3056"/>
      <c r="H1891" s="2792" t="e">
        <f t="shared" si="130"/>
        <v>#DIV/0!</v>
      </c>
      <c r="J1891" s="1370"/>
    </row>
    <row r="1892" spans="1:10" s="1622" customFormat="1" ht="17.100000000000001" hidden="1" customHeight="1">
      <c r="A1892" s="1631"/>
      <c r="B1892" s="1653"/>
      <c r="C1892" s="3260" t="s">
        <v>709</v>
      </c>
      <c r="D1892" s="3060" t="s">
        <v>710</v>
      </c>
      <c r="E1892" s="2900">
        <v>4619</v>
      </c>
      <c r="F1892" s="2790"/>
      <c r="G1892" s="3056"/>
      <c r="H1892" s="2792" t="e">
        <f t="shared" si="130"/>
        <v>#DIV/0!</v>
      </c>
      <c r="J1892" s="1370"/>
    </row>
    <row r="1893" spans="1:10" s="1622" customFormat="1" ht="17.100000000000001" hidden="1" customHeight="1">
      <c r="A1893" s="1631"/>
      <c r="B1893" s="1653"/>
      <c r="C1893" s="3260" t="s">
        <v>711</v>
      </c>
      <c r="D1893" s="3060" t="s">
        <v>712</v>
      </c>
      <c r="E1893" s="2900">
        <v>102486</v>
      </c>
      <c r="F1893" s="2790"/>
      <c r="G1893" s="3056"/>
      <c r="H1893" s="2792" t="e">
        <f t="shared" si="130"/>
        <v>#DIV/0!</v>
      </c>
      <c r="J1893" s="1370"/>
    </row>
    <row r="1894" spans="1:10" s="1622" customFormat="1" ht="17.100000000000001" hidden="1" customHeight="1">
      <c r="A1894" s="1631"/>
      <c r="B1894" s="1653"/>
      <c r="C1894" s="3260" t="s">
        <v>713</v>
      </c>
      <c r="D1894" s="3060" t="s">
        <v>714</v>
      </c>
      <c r="E1894" s="2900">
        <v>111996</v>
      </c>
      <c r="F1894" s="2790"/>
      <c r="G1894" s="3056"/>
      <c r="H1894" s="2792" t="e">
        <f t="shared" si="130"/>
        <v>#DIV/0!</v>
      </c>
      <c r="J1894" s="1370"/>
    </row>
    <row r="1895" spans="1:10" s="1622" customFormat="1" ht="17.100000000000001" hidden="1" customHeight="1">
      <c r="A1895" s="1631"/>
      <c r="B1895" s="1653"/>
      <c r="C1895" s="3260" t="s">
        <v>715</v>
      </c>
      <c r="D1895" s="3060" t="s">
        <v>716</v>
      </c>
      <c r="E1895" s="2900">
        <v>5880</v>
      </c>
      <c r="F1895" s="2790"/>
      <c r="G1895" s="3056"/>
      <c r="H1895" s="2792" t="e">
        <f t="shared" si="130"/>
        <v>#DIV/0!</v>
      </c>
      <c r="J1895" s="1370"/>
    </row>
    <row r="1896" spans="1:10" s="1622" customFormat="1" ht="17.100000000000001" hidden="1" customHeight="1">
      <c r="A1896" s="1653"/>
      <c r="B1896" s="1653"/>
      <c r="C1896" s="3079" t="s">
        <v>717</v>
      </c>
      <c r="D1896" s="3263" t="s">
        <v>718</v>
      </c>
      <c r="E1896" s="2900">
        <v>258388</v>
      </c>
      <c r="F1896" s="2790"/>
      <c r="G1896" s="3056"/>
      <c r="H1896" s="2792" t="e">
        <f t="shared" si="130"/>
        <v>#DIV/0!</v>
      </c>
      <c r="J1896" s="1370"/>
    </row>
    <row r="1897" spans="1:10" s="1622" customFormat="1" ht="16.5" hidden="1" customHeight="1">
      <c r="A1897" s="1631"/>
      <c r="B1897" s="1653"/>
      <c r="C1897" s="1472" t="s">
        <v>719</v>
      </c>
      <c r="D1897" s="2965" t="s">
        <v>720</v>
      </c>
      <c r="E1897" s="2954">
        <v>14569</v>
      </c>
      <c r="F1897" s="1451"/>
      <c r="G1897" s="2617"/>
      <c r="H1897" s="1453" t="e">
        <f t="shared" si="130"/>
        <v>#DIV/0!</v>
      </c>
      <c r="J1897" s="1370"/>
    </row>
    <row r="1898" spans="1:10" ht="16.5" hidden="1" customHeight="1">
      <c r="A1898" s="1556"/>
      <c r="B1898" s="1750"/>
      <c r="C1898" s="2952" t="s">
        <v>900</v>
      </c>
      <c r="D1898" s="2953" t="s">
        <v>901</v>
      </c>
      <c r="E1898" s="2900">
        <v>0</v>
      </c>
      <c r="F1898" s="2790"/>
      <c r="G1898" s="3056"/>
      <c r="H1898" s="2792" t="e">
        <f t="shared" si="130"/>
        <v>#DIV/0!</v>
      </c>
    </row>
    <row r="1899" spans="1:10" ht="16.5" hidden="1" customHeight="1">
      <c r="A1899" s="1750"/>
      <c r="B1899" s="1750"/>
      <c r="C1899" s="3079" t="s">
        <v>721</v>
      </c>
      <c r="D1899" s="3263" t="s">
        <v>722</v>
      </c>
      <c r="E1899" s="2900">
        <v>32538</v>
      </c>
      <c r="F1899" s="2790"/>
      <c r="G1899" s="3056"/>
      <c r="H1899" s="2792" t="e">
        <f t="shared" si="130"/>
        <v>#DIV/0!</v>
      </c>
    </row>
    <row r="1900" spans="1:10" ht="25.5" hidden="1" customHeight="1">
      <c r="A1900" s="1556"/>
      <c r="B1900" s="1750"/>
      <c r="C1900" s="2952" t="s">
        <v>723</v>
      </c>
      <c r="D1900" s="2953" t="s">
        <v>724</v>
      </c>
      <c r="E1900" s="2954">
        <v>0</v>
      </c>
      <c r="F1900" s="2790"/>
      <c r="G1900" s="3056"/>
      <c r="H1900" s="2792" t="e">
        <f t="shared" si="130"/>
        <v>#DIV/0!</v>
      </c>
    </row>
    <row r="1901" spans="1:10" s="1622" customFormat="1" ht="17.100000000000001" hidden="1" customHeight="1">
      <c r="A1901" s="1631"/>
      <c r="B1901" s="1653"/>
      <c r="C1901" s="3264" t="s">
        <v>725</v>
      </c>
      <c r="D1901" s="3060" t="s">
        <v>726</v>
      </c>
      <c r="E1901" s="2900">
        <v>11015</v>
      </c>
      <c r="F1901" s="2790"/>
      <c r="G1901" s="3056"/>
      <c r="H1901" s="2792" t="e">
        <f t="shared" si="130"/>
        <v>#DIV/0!</v>
      </c>
      <c r="J1901" s="1370"/>
    </row>
    <row r="1902" spans="1:10" ht="17.100000000000001" hidden="1" customHeight="1">
      <c r="A1902" s="1750"/>
      <c r="B1902" s="1750"/>
      <c r="C1902" s="3079" t="s">
        <v>865</v>
      </c>
      <c r="D1902" s="3263" t="s">
        <v>866</v>
      </c>
      <c r="E1902" s="2900">
        <v>2000</v>
      </c>
      <c r="F1902" s="2790"/>
      <c r="G1902" s="3056"/>
      <c r="H1902" s="2792" t="e">
        <f t="shared" si="130"/>
        <v>#DIV/0!</v>
      </c>
    </row>
    <row r="1903" spans="1:10" s="1622" customFormat="1" ht="17.100000000000001" hidden="1" customHeight="1">
      <c r="A1903" s="1631"/>
      <c r="B1903" s="1653"/>
      <c r="C1903" s="2471" t="s">
        <v>727</v>
      </c>
      <c r="D1903" s="2458" t="s">
        <v>728</v>
      </c>
      <c r="E1903" s="2459">
        <v>8181</v>
      </c>
      <c r="F1903" s="1859"/>
      <c r="G1903" s="2558"/>
      <c r="H1903" s="1659" t="e">
        <f t="shared" si="130"/>
        <v>#DIV/0!</v>
      </c>
      <c r="J1903" s="1370"/>
    </row>
    <row r="1904" spans="1:10" s="1622" customFormat="1" ht="17.100000000000001" hidden="1" customHeight="1">
      <c r="A1904" s="1631"/>
      <c r="B1904" s="1653"/>
      <c r="C1904" s="3205" t="s">
        <v>729</v>
      </c>
      <c r="D1904" s="3206" t="s">
        <v>730</v>
      </c>
      <c r="E1904" s="3135">
        <v>93437</v>
      </c>
      <c r="F1904" s="2762"/>
      <c r="G1904" s="3168"/>
      <c r="H1904" s="2756" t="e">
        <f t="shared" si="130"/>
        <v>#DIV/0!</v>
      </c>
      <c r="J1904" s="1370"/>
    </row>
    <row r="1905" spans="1:10" s="1622" customFormat="1" ht="17.100000000000001" hidden="1" customHeight="1">
      <c r="A1905" s="1631"/>
      <c r="B1905" s="1653"/>
      <c r="C1905" s="3205" t="s">
        <v>731</v>
      </c>
      <c r="D1905" s="3206" t="s">
        <v>732</v>
      </c>
      <c r="E1905" s="3135">
        <v>18052</v>
      </c>
      <c r="F1905" s="2762"/>
      <c r="G1905" s="3168"/>
      <c r="H1905" s="2756" t="e">
        <f t="shared" si="130"/>
        <v>#DIV/0!</v>
      </c>
      <c r="J1905" s="1370"/>
    </row>
    <row r="1906" spans="1:10" s="1622" customFormat="1" ht="17.100000000000001" hidden="1" customHeight="1">
      <c r="A1906" s="1631"/>
      <c r="B1906" s="1653"/>
      <c r="C1906" s="3205" t="s">
        <v>735</v>
      </c>
      <c r="D1906" s="3206" t="s">
        <v>736</v>
      </c>
      <c r="E1906" s="3135">
        <v>16419</v>
      </c>
      <c r="F1906" s="2762"/>
      <c r="G1906" s="3168"/>
      <c r="H1906" s="2756" t="e">
        <f t="shared" si="130"/>
        <v>#DIV/0!</v>
      </c>
      <c r="J1906" s="1370"/>
    </row>
    <row r="1907" spans="1:10" s="1622" customFormat="1" ht="17.100000000000001" hidden="1" customHeight="1">
      <c r="A1907" s="1631"/>
      <c r="B1907" s="1653"/>
      <c r="C1907" s="3166" t="s">
        <v>737</v>
      </c>
      <c r="D1907" s="3206" t="s">
        <v>738</v>
      </c>
      <c r="E1907" s="3135">
        <v>2500</v>
      </c>
      <c r="F1907" s="2762"/>
      <c r="G1907" s="3168"/>
      <c r="H1907" s="2756" t="e">
        <f t="shared" si="130"/>
        <v>#DIV/0!</v>
      </c>
      <c r="J1907" s="1370"/>
    </row>
    <row r="1908" spans="1:10" s="1622" customFormat="1" ht="17.100000000000001" hidden="1" customHeight="1">
      <c r="A1908" s="1631"/>
      <c r="B1908" s="1653"/>
      <c r="C1908" s="1664" t="s">
        <v>815</v>
      </c>
      <c r="D1908" s="3206" t="s">
        <v>816</v>
      </c>
      <c r="E1908" s="3135">
        <v>600</v>
      </c>
      <c r="F1908" s="2762"/>
      <c r="G1908" s="3168"/>
      <c r="H1908" s="2756" t="e">
        <f t="shared" si="130"/>
        <v>#DIV/0!</v>
      </c>
      <c r="J1908" s="1370"/>
    </row>
    <row r="1909" spans="1:10" s="1622" customFormat="1" ht="18" hidden="1" customHeight="1">
      <c r="A1909" s="1631"/>
      <c r="B1909" s="1653"/>
      <c r="C1909" s="3199" t="s">
        <v>739</v>
      </c>
      <c r="D1909" s="3200" t="s">
        <v>740</v>
      </c>
      <c r="E1909" s="3135">
        <v>15400</v>
      </c>
      <c r="F1909" s="2762"/>
      <c r="G1909" s="3168"/>
      <c r="H1909" s="2756" t="e">
        <f t="shared" si="130"/>
        <v>#DIV/0!</v>
      </c>
      <c r="J1909" s="1370"/>
    </row>
    <row r="1910" spans="1:10" ht="17.100000000000001" hidden="1" customHeight="1">
      <c r="A1910" s="1556"/>
      <c r="B1910" s="1750"/>
      <c r="C1910" s="3100"/>
      <c r="D1910" s="3265"/>
      <c r="E1910" s="3100"/>
      <c r="F1910" s="2805"/>
      <c r="G1910" s="3070"/>
      <c r="H1910" s="2807"/>
    </row>
    <row r="1911" spans="1:10" s="1622" customFormat="1" ht="17.100000000000001" hidden="1" customHeight="1">
      <c r="A1911" s="1631"/>
      <c r="B1911" s="1653"/>
      <c r="C1911" s="4436" t="s">
        <v>797</v>
      </c>
      <c r="D1911" s="4436"/>
      <c r="E1911" s="2459">
        <f>SUM(E1912)</f>
        <v>800000</v>
      </c>
      <c r="F1911" s="1859">
        <f>SUM(F1912)</f>
        <v>0</v>
      </c>
      <c r="G1911" s="2537">
        <f>SUM(G1912)</f>
        <v>0</v>
      </c>
      <c r="H1911" s="2756" t="e">
        <f>G1911/F1911</f>
        <v>#DIV/0!</v>
      </c>
      <c r="J1911" s="1370"/>
    </row>
    <row r="1912" spans="1:10" s="1622" customFormat="1" ht="53.25" hidden="1" customHeight="1">
      <c r="A1912" s="1631"/>
      <c r="B1912" s="1653"/>
      <c r="C1912" s="3205" t="s">
        <v>374</v>
      </c>
      <c r="D1912" s="3206" t="s">
        <v>817</v>
      </c>
      <c r="E1912" s="3135">
        <v>800000</v>
      </c>
      <c r="F1912" s="2762"/>
      <c r="G1912" s="3168"/>
      <c r="H1912" s="2756" t="e">
        <f>G1912/F1912</f>
        <v>#DIV/0!</v>
      </c>
      <c r="J1912" s="1370"/>
    </row>
    <row r="1913" spans="1:10" ht="15" hidden="1" customHeight="1">
      <c r="A1913" s="1556"/>
      <c r="B1913" s="1750"/>
      <c r="C1913" s="2366"/>
      <c r="D1913" s="2366"/>
      <c r="E1913" s="2367"/>
      <c r="F1913" s="2805"/>
      <c r="G1913" s="3070"/>
      <c r="H1913" s="2807"/>
    </row>
    <row r="1914" spans="1:10" s="1622" customFormat="1" ht="17.100000000000001" hidden="1" customHeight="1">
      <c r="A1914" s="1631"/>
      <c r="B1914" s="2520"/>
      <c r="C1914" s="4549" t="s">
        <v>741</v>
      </c>
      <c r="D1914" s="4549"/>
      <c r="E1914" s="3187">
        <f>SUM(E1915)</f>
        <v>14448</v>
      </c>
      <c r="F1914" s="3188">
        <f>SUM(F1915)</f>
        <v>0</v>
      </c>
      <c r="G1914" s="3189">
        <f>SUM(G1915)</f>
        <v>0</v>
      </c>
      <c r="H1914" s="2756" t="e">
        <f>G1914/F1914</f>
        <v>#DIV/0!</v>
      </c>
      <c r="J1914" s="1370"/>
    </row>
    <row r="1915" spans="1:10" s="1622" customFormat="1" ht="17.25" hidden="1" customHeight="1">
      <c r="A1915" s="1631"/>
      <c r="B1915" s="2520"/>
      <c r="C1915" s="3205" t="s">
        <v>742</v>
      </c>
      <c r="D1915" s="3206" t="s">
        <v>743</v>
      </c>
      <c r="E1915" s="3234">
        <v>14448</v>
      </c>
      <c r="F1915" s="3188"/>
      <c r="G1915" s="3168"/>
      <c r="H1915" s="2756" t="e">
        <f>G1915/F1915</f>
        <v>#DIV/0!</v>
      </c>
      <c r="J1915" s="1370"/>
    </row>
    <row r="1916" spans="1:10" s="1622" customFormat="1" ht="15.75" customHeight="1">
      <c r="A1916" s="1631"/>
      <c r="B1916" s="1637"/>
      <c r="C1916" s="4546" t="s">
        <v>761</v>
      </c>
      <c r="D1916" s="4547"/>
      <c r="E1916" s="3269">
        <f>SUM(E1919:E1979)</f>
        <v>2968028</v>
      </c>
      <c r="F1916" s="3272">
        <f>SUM(F1917:F1968)</f>
        <v>0</v>
      </c>
      <c r="G1916" s="3270">
        <f>SUM(G1917:G1968)</f>
        <v>21431283</v>
      </c>
      <c r="H1916" s="3273"/>
      <c r="J1916" s="1370" t="s">
        <v>823</v>
      </c>
    </row>
    <row r="1917" spans="1:10" s="1622" customFormat="1" ht="16.5" customHeight="1">
      <c r="A1917" s="1631"/>
      <c r="B1917" s="1637"/>
      <c r="C1917" s="3205" t="s">
        <v>827</v>
      </c>
      <c r="D1917" s="3206" t="s">
        <v>693</v>
      </c>
      <c r="E1917" s="3274">
        <v>504613</v>
      </c>
      <c r="F1917" s="1859">
        <v>0</v>
      </c>
      <c r="G1917" s="3168">
        <v>1163245</v>
      </c>
      <c r="H1917" s="2756"/>
      <c r="J1917" s="1370"/>
    </row>
    <row r="1918" spans="1:10" s="1622" customFormat="1" ht="16.5" hidden="1" customHeight="1">
      <c r="A1918" s="1631"/>
      <c r="B1918" s="1637"/>
      <c r="C1918" s="3205" t="s">
        <v>766</v>
      </c>
      <c r="D1918" s="3206" t="s">
        <v>693</v>
      </c>
      <c r="E1918" s="3274">
        <v>0</v>
      </c>
      <c r="F1918" s="2762">
        <v>0</v>
      </c>
      <c r="G1918" s="3168">
        <v>0</v>
      </c>
      <c r="H1918" s="2756" t="e">
        <f t="shared" ref="H1918:H1950" si="131">G1918/F1918</f>
        <v>#DIV/0!</v>
      </c>
      <c r="J1918" s="1370"/>
    </row>
    <row r="1919" spans="1:10" s="1622" customFormat="1" ht="16.5" customHeight="1">
      <c r="A1919" s="1631"/>
      <c r="B1919" s="1637"/>
      <c r="C1919" s="3166" t="s">
        <v>767</v>
      </c>
      <c r="D1919" s="3221" t="s">
        <v>693</v>
      </c>
      <c r="E1919" s="3274">
        <v>136153</v>
      </c>
      <c r="F1919" s="2762">
        <v>0</v>
      </c>
      <c r="G1919" s="3168">
        <v>205279</v>
      </c>
      <c r="H1919" s="2756"/>
      <c r="J1919" s="1370"/>
    </row>
    <row r="1920" spans="1:10" s="1622" customFormat="1" ht="16.5" customHeight="1">
      <c r="A1920" s="1631"/>
      <c r="B1920" s="1637"/>
      <c r="C1920" s="2471" t="s">
        <v>828</v>
      </c>
      <c r="D1920" s="2458" t="s">
        <v>695</v>
      </c>
      <c r="E1920" s="3274">
        <v>66326</v>
      </c>
      <c r="F1920" s="2762">
        <v>0</v>
      </c>
      <c r="G1920" s="3168">
        <v>32375</v>
      </c>
      <c r="H1920" s="2756"/>
      <c r="J1920" s="1370"/>
    </row>
    <row r="1921" spans="1:10" s="1370" customFormat="1" ht="16.5" hidden="1" customHeight="1">
      <c r="A1921" s="1408"/>
      <c r="B1921" s="1548"/>
      <c r="C1921" s="3275" t="s">
        <v>768</v>
      </c>
      <c r="D1921" s="3060" t="s">
        <v>695</v>
      </c>
      <c r="E1921" s="3276">
        <v>0</v>
      </c>
      <c r="F1921" s="2790">
        <v>0</v>
      </c>
      <c r="G1921" s="3056">
        <v>0</v>
      </c>
      <c r="H1921" s="2792" t="e">
        <f t="shared" si="131"/>
        <v>#DIV/0!</v>
      </c>
    </row>
    <row r="1922" spans="1:10" s="1622" customFormat="1" ht="16.5" customHeight="1">
      <c r="A1922" s="1631"/>
      <c r="B1922" s="1637"/>
      <c r="C1922" s="3205" t="s">
        <v>769</v>
      </c>
      <c r="D1922" s="3206" t="s">
        <v>695</v>
      </c>
      <c r="E1922" s="3274">
        <v>3541</v>
      </c>
      <c r="F1922" s="2762">
        <v>0</v>
      </c>
      <c r="G1922" s="3168">
        <v>5713</v>
      </c>
      <c r="H1922" s="2756"/>
      <c r="J1922" s="1370"/>
    </row>
    <row r="1923" spans="1:10" s="1622" customFormat="1" ht="16.5" customHeight="1">
      <c r="A1923" s="1631"/>
      <c r="B1923" s="1637"/>
      <c r="C1923" s="3205" t="s">
        <v>829</v>
      </c>
      <c r="D1923" s="3206" t="s">
        <v>697</v>
      </c>
      <c r="E1923" s="3274">
        <v>97860</v>
      </c>
      <c r="F1923" s="2762">
        <v>0</v>
      </c>
      <c r="G1923" s="3168">
        <v>205526</v>
      </c>
      <c r="H1923" s="2756"/>
      <c r="J1923" s="1370"/>
    </row>
    <row r="1924" spans="1:10" s="1622" customFormat="1" ht="16.5" hidden="1" customHeight="1">
      <c r="A1924" s="1631"/>
      <c r="B1924" s="1637"/>
      <c r="C1924" s="3205" t="s">
        <v>770</v>
      </c>
      <c r="D1924" s="3206" t="s">
        <v>697</v>
      </c>
      <c r="E1924" s="3274">
        <v>0</v>
      </c>
      <c r="F1924" s="2762"/>
      <c r="G1924" s="3168">
        <v>0</v>
      </c>
      <c r="H1924" s="2756" t="e">
        <f t="shared" si="131"/>
        <v>#DIV/0!</v>
      </c>
      <c r="J1924" s="1370"/>
    </row>
    <row r="1925" spans="1:10" s="1622" customFormat="1" ht="16.5" customHeight="1">
      <c r="A1925" s="1631"/>
      <c r="B1925" s="1637"/>
      <c r="C1925" s="3205" t="s">
        <v>771</v>
      </c>
      <c r="D1925" s="3206" t="s">
        <v>697</v>
      </c>
      <c r="E1925" s="3274">
        <v>22957</v>
      </c>
      <c r="F1925" s="2762">
        <v>0</v>
      </c>
      <c r="G1925" s="3168">
        <v>36270</v>
      </c>
      <c r="H1925" s="2756"/>
      <c r="J1925" s="1370"/>
    </row>
    <row r="1926" spans="1:10" s="1622" customFormat="1" ht="16.5" customHeight="1">
      <c r="A1926" s="1631"/>
      <c r="B1926" s="1637"/>
      <c r="C1926" s="3205" t="s">
        <v>830</v>
      </c>
      <c r="D1926" s="3206" t="s">
        <v>699</v>
      </c>
      <c r="E1926" s="3274">
        <v>14000</v>
      </c>
      <c r="F1926" s="2762">
        <v>0</v>
      </c>
      <c r="G1926" s="3168">
        <v>29294</v>
      </c>
      <c r="H1926" s="2756"/>
      <c r="J1926" s="1370"/>
    </row>
    <row r="1927" spans="1:10" ht="16.5" hidden="1" customHeight="1">
      <c r="A1927" s="1556"/>
      <c r="B1927" s="3277"/>
      <c r="C1927" s="3260" t="s">
        <v>772</v>
      </c>
      <c r="D1927" s="3060" t="s">
        <v>699</v>
      </c>
      <c r="E1927" s="3276">
        <v>0</v>
      </c>
      <c r="F1927" s="2790"/>
      <c r="G1927" s="3056">
        <v>0</v>
      </c>
      <c r="H1927" s="2792" t="e">
        <f t="shared" si="131"/>
        <v>#DIV/0!</v>
      </c>
    </row>
    <row r="1928" spans="1:10" s="1622" customFormat="1" ht="16.5" customHeight="1">
      <c r="A1928" s="1653"/>
      <c r="B1928" s="1637"/>
      <c r="C1928" s="3278" t="s">
        <v>773</v>
      </c>
      <c r="D1928" s="3221" t="s">
        <v>699</v>
      </c>
      <c r="E1928" s="3269">
        <v>3423</v>
      </c>
      <c r="F1928" s="2762">
        <v>0</v>
      </c>
      <c r="G1928" s="3145">
        <v>5169</v>
      </c>
      <c r="H1928" s="2756"/>
      <c r="J1928" s="1370"/>
    </row>
    <row r="1929" spans="1:10" s="1622" customFormat="1" ht="16.5" hidden="1" customHeight="1">
      <c r="A1929" s="1631"/>
      <c r="B1929" s="1637"/>
      <c r="C1929" s="2471" t="s">
        <v>970</v>
      </c>
      <c r="D1929" s="2458" t="s">
        <v>701</v>
      </c>
      <c r="E1929" s="2423">
        <v>253994</v>
      </c>
      <c r="F1929" s="1859"/>
      <c r="G1929" s="2558">
        <v>0</v>
      </c>
      <c r="H1929" s="1659" t="e">
        <f t="shared" si="131"/>
        <v>#DIV/0!</v>
      </c>
      <c r="J1929" s="1370"/>
    </row>
    <row r="1930" spans="1:10" s="1622" customFormat="1" ht="16.5" hidden="1" customHeight="1">
      <c r="A1930" s="1653"/>
      <c r="B1930" s="1637"/>
      <c r="C1930" s="3166" t="s">
        <v>775</v>
      </c>
      <c r="D1930" s="3221" t="s">
        <v>701</v>
      </c>
      <c r="E1930" s="3269">
        <v>42349</v>
      </c>
      <c r="F1930" s="2762"/>
      <c r="G1930" s="3145">
        <v>0</v>
      </c>
      <c r="H1930" s="2756" t="e">
        <f t="shared" si="131"/>
        <v>#DIV/0!</v>
      </c>
      <c r="J1930" s="1370"/>
    </row>
    <row r="1931" spans="1:10" s="1622" customFormat="1" ht="16.5" customHeight="1">
      <c r="A1931" s="1631"/>
      <c r="B1931" s="1637"/>
      <c r="C1931" s="2471" t="s">
        <v>832</v>
      </c>
      <c r="D1931" s="2458" t="s">
        <v>708</v>
      </c>
      <c r="E1931" s="2423">
        <v>20971</v>
      </c>
      <c r="F1931" s="2762">
        <v>0</v>
      </c>
      <c r="G1931" s="3145">
        <v>229500</v>
      </c>
      <c r="H1931" s="2756"/>
      <c r="J1931" s="1370"/>
    </row>
    <row r="1932" spans="1:10" s="1622" customFormat="1" ht="16.5" hidden="1" customHeight="1">
      <c r="A1932" s="1631"/>
      <c r="B1932" s="1637"/>
      <c r="C1932" s="3205" t="s">
        <v>779</v>
      </c>
      <c r="D1932" s="3206" t="s">
        <v>708</v>
      </c>
      <c r="E1932" s="3274">
        <v>0</v>
      </c>
      <c r="F1932" s="2762"/>
      <c r="G1932" s="3168">
        <v>0</v>
      </c>
      <c r="H1932" s="2756" t="e">
        <f t="shared" si="131"/>
        <v>#DIV/0!</v>
      </c>
      <c r="J1932" s="1370"/>
    </row>
    <row r="1933" spans="1:10" s="1622" customFormat="1" ht="16.5" customHeight="1">
      <c r="A1933" s="1631"/>
      <c r="B1933" s="1637"/>
      <c r="C1933" s="3205" t="s">
        <v>780</v>
      </c>
      <c r="D1933" s="3206" t="s">
        <v>708</v>
      </c>
      <c r="E1933" s="3274">
        <v>2830</v>
      </c>
      <c r="F1933" s="2762">
        <v>0</v>
      </c>
      <c r="G1933" s="3168">
        <v>40500</v>
      </c>
      <c r="H1933" s="2756"/>
      <c r="J1933" s="1370"/>
    </row>
    <row r="1934" spans="1:10" s="1370" customFormat="1" ht="16.5" customHeight="1">
      <c r="A1934" s="1408"/>
      <c r="B1934" s="1548"/>
      <c r="C1934" s="3260" t="s">
        <v>1135</v>
      </c>
      <c r="D1934" s="3060" t="s">
        <v>710</v>
      </c>
      <c r="E1934" s="3276">
        <v>0</v>
      </c>
      <c r="F1934" s="2790">
        <v>0</v>
      </c>
      <c r="G1934" s="3056">
        <v>8500</v>
      </c>
      <c r="H1934" s="2792"/>
    </row>
    <row r="1935" spans="1:10" s="1370" customFormat="1" ht="16.5" customHeight="1">
      <c r="A1935" s="1408"/>
      <c r="B1935" s="1548"/>
      <c r="C1935" s="3260" t="s">
        <v>1045</v>
      </c>
      <c r="D1935" s="3060" t="s">
        <v>710</v>
      </c>
      <c r="E1935" s="3276">
        <v>0</v>
      </c>
      <c r="F1935" s="2790">
        <v>0</v>
      </c>
      <c r="G1935" s="3056">
        <v>1500</v>
      </c>
      <c r="H1935" s="2792"/>
    </row>
    <row r="1936" spans="1:10" ht="16.5" hidden="1" customHeight="1">
      <c r="A1936" s="1556"/>
      <c r="B1936" s="3277"/>
      <c r="C1936" s="3279" t="s">
        <v>1046</v>
      </c>
      <c r="D1936" s="3069" t="s">
        <v>712</v>
      </c>
      <c r="E1936" s="3280">
        <v>0</v>
      </c>
      <c r="F1936" s="2805"/>
      <c r="G1936" s="3070">
        <v>0</v>
      </c>
      <c r="H1936" s="2807" t="e">
        <f t="shared" si="131"/>
        <v>#DIV/0!</v>
      </c>
    </row>
    <row r="1937" spans="1:10" ht="16.5" hidden="1" customHeight="1">
      <c r="A1937" s="1556"/>
      <c r="B1937" s="3277"/>
      <c r="C1937" s="3279" t="s">
        <v>1001</v>
      </c>
      <c r="D1937" s="3069" t="s">
        <v>712</v>
      </c>
      <c r="E1937" s="3280">
        <v>0</v>
      </c>
      <c r="F1937" s="2805"/>
      <c r="G1937" s="3070">
        <v>0</v>
      </c>
      <c r="H1937" s="2807" t="e">
        <f t="shared" si="131"/>
        <v>#DIV/0!</v>
      </c>
    </row>
    <row r="1938" spans="1:10" ht="16.5" hidden="1" customHeight="1">
      <c r="A1938" s="1556"/>
      <c r="B1938" s="3277"/>
      <c r="C1938" s="3279" t="s">
        <v>1209</v>
      </c>
      <c r="D1938" s="3069" t="s">
        <v>714</v>
      </c>
      <c r="E1938" s="3280">
        <v>0</v>
      </c>
      <c r="F1938" s="2805"/>
      <c r="G1938" s="3070">
        <v>0</v>
      </c>
      <c r="H1938" s="2807" t="e">
        <f t="shared" si="131"/>
        <v>#DIV/0!</v>
      </c>
    </row>
    <row r="1939" spans="1:10" ht="16.5" hidden="1" customHeight="1">
      <c r="A1939" s="1556"/>
      <c r="B1939" s="3277"/>
      <c r="C1939" s="3279" t="s">
        <v>782</v>
      </c>
      <c r="D1939" s="3069" t="s">
        <v>714</v>
      </c>
      <c r="E1939" s="3280">
        <v>0</v>
      </c>
      <c r="F1939" s="2805"/>
      <c r="G1939" s="3070">
        <v>0</v>
      </c>
      <c r="H1939" s="2807" t="e">
        <f t="shared" si="131"/>
        <v>#DIV/0!</v>
      </c>
    </row>
    <row r="1940" spans="1:10" ht="16.5" hidden="1" customHeight="1">
      <c r="A1940" s="1556"/>
      <c r="B1940" s="3277"/>
      <c r="C1940" s="3279" t="s">
        <v>1210</v>
      </c>
      <c r="D1940" s="3069" t="s">
        <v>716</v>
      </c>
      <c r="E1940" s="3280">
        <v>0</v>
      </c>
      <c r="F1940" s="2805"/>
      <c r="G1940" s="3070">
        <v>0</v>
      </c>
      <c r="H1940" s="2807" t="e">
        <f t="shared" si="131"/>
        <v>#DIV/0!</v>
      </c>
    </row>
    <row r="1941" spans="1:10" ht="16.5" hidden="1" customHeight="1">
      <c r="A1941" s="1556"/>
      <c r="B1941" s="3277"/>
      <c r="C1941" s="3279" t="s">
        <v>1003</v>
      </c>
      <c r="D1941" s="3069" t="s">
        <v>716</v>
      </c>
      <c r="E1941" s="3280">
        <v>0</v>
      </c>
      <c r="F1941" s="2805"/>
      <c r="G1941" s="3070">
        <v>0</v>
      </c>
      <c r="H1941" s="2807" t="e">
        <f t="shared" si="131"/>
        <v>#DIV/0!</v>
      </c>
    </row>
    <row r="1942" spans="1:10" s="1622" customFormat="1" ht="17.25" customHeight="1">
      <c r="A1942" s="1631"/>
      <c r="B1942" s="1637"/>
      <c r="C1942" s="3205" t="s">
        <v>833</v>
      </c>
      <c r="D1942" s="3206" t="s">
        <v>718</v>
      </c>
      <c r="E1942" s="3274">
        <v>739483</v>
      </c>
      <c r="F1942" s="2762">
        <v>0</v>
      </c>
      <c r="G1942" s="3168">
        <v>15836100</v>
      </c>
      <c r="H1942" s="2756"/>
      <c r="J1942" s="1370"/>
    </row>
    <row r="1943" spans="1:10" ht="16.5" hidden="1" customHeight="1">
      <c r="A1943" s="1556"/>
      <c r="B1943" s="3277"/>
      <c r="C1943" s="3279" t="s">
        <v>783</v>
      </c>
      <c r="D1943" s="3069" t="s">
        <v>718</v>
      </c>
      <c r="E1943" s="3280">
        <v>0</v>
      </c>
      <c r="F1943" s="2805"/>
      <c r="G1943" s="3070">
        <v>0</v>
      </c>
      <c r="H1943" s="2807" t="e">
        <f t="shared" si="131"/>
        <v>#DIV/0!</v>
      </c>
    </row>
    <row r="1944" spans="1:10" s="1622" customFormat="1" ht="16.5" customHeight="1">
      <c r="A1944" s="1631"/>
      <c r="B1944" s="1637"/>
      <c r="C1944" s="3205" t="s">
        <v>784</v>
      </c>
      <c r="D1944" s="3206" t="s">
        <v>718</v>
      </c>
      <c r="E1944" s="3274">
        <v>99484</v>
      </c>
      <c r="F1944" s="2762">
        <v>0</v>
      </c>
      <c r="G1944" s="3168">
        <v>2794606</v>
      </c>
      <c r="H1944" s="2756"/>
      <c r="J1944" s="1370"/>
    </row>
    <row r="1945" spans="1:10" s="1622" customFormat="1" ht="16.5" hidden="1" customHeight="1">
      <c r="A1945" s="1631"/>
      <c r="B1945" s="1637"/>
      <c r="C1945" s="3199" t="s">
        <v>1050</v>
      </c>
      <c r="D1945" s="3200" t="s">
        <v>720</v>
      </c>
      <c r="E1945" s="3274">
        <v>280</v>
      </c>
      <c r="F1945" s="2762"/>
      <c r="G1945" s="3168">
        <v>0</v>
      </c>
      <c r="H1945" s="2756" t="e">
        <f t="shared" si="131"/>
        <v>#DIV/0!</v>
      </c>
      <c r="J1945" s="1370"/>
    </row>
    <row r="1946" spans="1:10" ht="16.5" hidden="1" customHeight="1">
      <c r="A1946" s="1556"/>
      <c r="B1946" s="3277"/>
      <c r="C1946" s="3210" t="s">
        <v>1052</v>
      </c>
      <c r="D1946" s="3211" t="s">
        <v>720</v>
      </c>
      <c r="E1946" s="3280">
        <v>0</v>
      </c>
      <c r="F1946" s="2805"/>
      <c r="G1946" s="3070">
        <v>0</v>
      </c>
      <c r="H1946" s="2807" t="e">
        <f t="shared" si="131"/>
        <v>#DIV/0!</v>
      </c>
    </row>
    <row r="1947" spans="1:10" ht="16.5" hidden="1" customHeight="1">
      <c r="A1947" s="1556"/>
      <c r="B1947" s="3277"/>
      <c r="C1947" s="3210" t="s">
        <v>902</v>
      </c>
      <c r="D1947" s="3211" t="s">
        <v>901</v>
      </c>
      <c r="E1947" s="3280">
        <v>0</v>
      </c>
      <c r="F1947" s="2805"/>
      <c r="G1947" s="3070">
        <v>0</v>
      </c>
      <c r="H1947" s="2807" t="e">
        <f t="shared" si="131"/>
        <v>#DIV/0!</v>
      </c>
    </row>
    <row r="1948" spans="1:10" ht="16.5" hidden="1" customHeight="1">
      <c r="A1948" s="1556"/>
      <c r="B1948" s="3277"/>
      <c r="C1948" s="3210" t="s">
        <v>903</v>
      </c>
      <c r="D1948" s="3281" t="s">
        <v>901</v>
      </c>
      <c r="E1948" s="3280">
        <v>0</v>
      </c>
      <c r="F1948" s="2805"/>
      <c r="G1948" s="3070">
        <v>0</v>
      </c>
      <c r="H1948" s="2807" t="e">
        <f t="shared" si="131"/>
        <v>#DIV/0!</v>
      </c>
    </row>
    <row r="1949" spans="1:10" ht="16.5" hidden="1" customHeight="1">
      <c r="A1949" s="1556"/>
      <c r="B1949" s="3277"/>
      <c r="C1949" s="3210" t="s">
        <v>834</v>
      </c>
      <c r="D1949" s="3282" t="s">
        <v>722</v>
      </c>
      <c r="E1949" s="3280">
        <v>0</v>
      </c>
      <c r="F1949" s="2805"/>
      <c r="G1949" s="3070">
        <v>0</v>
      </c>
      <c r="H1949" s="2807" t="e">
        <f t="shared" si="131"/>
        <v>#DIV/0!</v>
      </c>
    </row>
    <row r="1950" spans="1:10" ht="16.5" hidden="1" customHeight="1">
      <c r="A1950" s="1556"/>
      <c r="B1950" s="3277"/>
      <c r="C1950" s="3210" t="s">
        <v>786</v>
      </c>
      <c r="D1950" s="3282" t="s">
        <v>722</v>
      </c>
      <c r="E1950" s="3280">
        <v>0</v>
      </c>
      <c r="F1950" s="2805"/>
      <c r="G1950" s="3070">
        <v>0</v>
      </c>
      <c r="H1950" s="2807" t="e">
        <f t="shared" si="131"/>
        <v>#DIV/0!</v>
      </c>
    </row>
    <row r="1951" spans="1:10" s="1370" customFormat="1" ht="26.25" customHeight="1">
      <c r="A1951" s="1408"/>
      <c r="B1951" s="1548"/>
      <c r="C1951" s="3227" t="s">
        <v>1211</v>
      </c>
      <c r="D1951" s="2965" t="s">
        <v>724</v>
      </c>
      <c r="E1951" s="3276">
        <v>0</v>
      </c>
      <c r="F1951" s="2790">
        <v>0</v>
      </c>
      <c r="G1951" s="3056">
        <v>663000</v>
      </c>
      <c r="H1951" s="2792"/>
    </row>
    <row r="1952" spans="1:10" s="1370" customFormat="1" ht="27.75" customHeight="1">
      <c r="A1952" s="1408"/>
      <c r="B1952" s="1548"/>
      <c r="C1952" s="3227" t="s">
        <v>1008</v>
      </c>
      <c r="D1952" s="2965" t="s">
        <v>724</v>
      </c>
      <c r="E1952" s="3276">
        <v>0</v>
      </c>
      <c r="F1952" s="2790">
        <v>0</v>
      </c>
      <c r="G1952" s="3056">
        <v>117000</v>
      </c>
      <c r="H1952" s="2792"/>
    </row>
    <row r="1953" spans="1:10" s="1622" customFormat="1" ht="16.5" customHeight="1">
      <c r="A1953" s="1631"/>
      <c r="B1953" s="1637"/>
      <c r="C1953" s="3199" t="s">
        <v>835</v>
      </c>
      <c r="D1953" s="3283" t="s">
        <v>726</v>
      </c>
      <c r="E1953" s="3274">
        <v>1508</v>
      </c>
      <c r="F1953" s="2762">
        <v>0</v>
      </c>
      <c r="G1953" s="3168">
        <v>8500</v>
      </c>
      <c r="H1953" s="2756"/>
      <c r="J1953" s="1370"/>
    </row>
    <row r="1954" spans="1:10" ht="16.5" hidden="1" customHeight="1">
      <c r="A1954" s="1556"/>
      <c r="B1954" s="3277"/>
      <c r="C1954" s="3279" t="s">
        <v>787</v>
      </c>
      <c r="D1954" s="3026" t="s">
        <v>726</v>
      </c>
      <c r="E1954" s="3280">
        <v>0</v>
      </c>
      <c r="F1954" s="2805"/>
      <c r="G1954" s="3070">
        <v>0</v>
      </c>
      <c r="H1954" s="2807"/>
    </row>
    <row r="1955" spans="1:10" s="1622" customFormat="1" ht="16.5" customHeight="1">
      <c r="A1955" s="1631"/>
      <c r="B1955" s="1637"/>
      <c r="C1955" s="3205" t="s">
        <v>788</v>
      </c>
      <c r="D1955" s="2458" t="s">
        <v>726</v>
      </c>
      <c r="E1955" s="3274">
        <v>0</v>
      </c>
      <c r="F1955" s="2762">
        <v>0</v>
      </c>
      <c r="G1955" s="3168">
        <v>1500</v>
      </c>
      <c r="H1955" s="2756"/>
      <c r="J1955" s="1370"/>
    </row>
    <row r="1956" spans="1:10" s="1622" customFormat="1" ht="16.5" hidden="1" customHeight="1">
      <c r="A1956" s="1631"/>
      <c r="B1956" s="1637"/>
      <c r="C1956" s="3205" t="s">
        <v>904</v>
      </c>
      <c r="D1956" s="2458" t="s">
        <v>866</v>
      </c>
      <c r="E1956" s="3274">
        <v>0</v>
      </c>
      <c r="F1956" s="2762"/>
      <c r="G1956" s="3168"/>
      <c r="H1956" s="2756"/>
      <c r="J1956" s="1370"/>
    </row>
    <row r="1957" spans="1:10" s="1622" customFormat="1" ht="16.5" hidden="1" customHeight="1">
      <c r="A1957" s="1631"/>
      <c r="B1957" s="1637"/>
      <c r="C1957" s="3205" t="s">
        <v>905</v>
      </c>
      <c r="D1957" s="2458" t="s">
        <v>866</v>
      </c>
      <c r="E1957" s="3274">
        <v>0</v>
      </c>
      <c r="F1957" s="2762"/>
      <c r="G1957" s="3168"/>
      <c r="H1957" s="2756"/>
      <c r="J1957" s="1370"/>
    </row>
    <row r="1958" spans="1:10" s="1622" customFormat="1" ht="16.5" customHeight="1">
      <c r="A1958" s="1631"/>
      <c r="B1958" s="1637"/>
      <c r="C1958" s="3137" t="s">
        <v>1212</v>
      </c>
      <c r="D1958" s="3284" t="s">
        <v>730</v>
      </c>
      <c r="E1958" s="3274">
        <v>5335</v>
      </c>
      <c r="F1958" s="2762">
        <v>0</v>
      </c>
      <c r="G1958" s="3168">
        <v>22617</v>
      </c>
      <c r="H1958" s="2756"/>
      <c r="J1958" s="1370"/>
    </row>
    <row r="1959" spans="1:10" s="1622" customFormat="1" ht="16.5" customHeight="1">
      <c r="A1959" s="1631"/>
      <c r="B1959" s="1637"/>
      <c r="C1959" s="3285" t="s">
        <v>1213</v>
      </c>
      <c r="D1959" s="1889" t="s">
        <v>730</v>
      </c>
      <c r="E1959" s="3274">
        <v>995</v>
      </c>
      <c r="F1959" s="2762">
        <v>0</v>
      </c>
      <c r="G1959" s="3168">
        <v>3991</v>
      </c>
      <c r="H1959" s="2756"/>
      <c r="J1959" s="1370"/>
    </row>
    <row r="1960" spans="1:10" ht="16.5" hidden="1" customHeight="1">
      <c r="A1960" s="1556"/>
      <c r="B1960" s="3277"/>
      <c r="C1960" s="3286" t="s">
        <v>1214</v>
      </c>
      <c r="D1960" s="1908" t="s">
        <v>732</v>
      </c>
      <c r="E1960" s="3280">
        <v>0</v>
      </c>
      <c r="F1960" s="2805"/>
      <c r="G1960" s="3070"/>
      <c r="H1960" s="2807"/>
    </row>
    <row r="1961" spans="1:10" ht="16.5" hidden="1" customHeight="1">
      <c r="A1961" s="1556"/>
      <c r="B1961" s="3277"/>
      <c r="C1961" s="3286" t="s">
        <v>1215</v>
      </c>
      <c r="D1961" s="1908" t="s">
        <v>732</v>
      </c>
      <c r="E1961" s="3280">
        <v>0</v>
      </c>
      <c r="F1961" s="2805"/>
      <c r="G1961" s="3070"/>
      <c r="H1961" s="2807"/>
    </row>
    <row r="1962" spans="1:10" ht="16.5" hidden="1" customHeight="1">
      <c r="A1962" s="1556"/>
      <c r="B1962" s="3277"/>
      <c r="C1962" s="3286" t="s">
        <v>1216</v>
      </c>
      <c r="D1962" s="1908" t="s">
        <v>736</v>
      </c>
      <c r="E1962" s="3280">
        <v>0</v>
      </c>
      <c r="F1962" s="2805"/>
      <c r="G1962" s="3070"/>
      <c r="H1962" s="2807"/>
    </row>
    <row r="1963" spans="1:10" ht="16.5" hidden="1" customHeight="1">
      <c r="A1963" s="1556"/>
      <c r="B1963" s="3277"/>
      <c r="C1963" s="3286" t="s">
        <v>1010</v>
      </c>
      <c r="D1963" s="1908" t="s">
        <v>736</v>
      </c>
      <c r="E1963" s="3280">
        <v>0</v>
      </c>
      <c r="F1963" s="2805"/>
      <c r="G1963" s="3070"/>
      <c r="H1963" s="2807"/>
    </row>
    <row r="1964" spans="1:10" ht="16.5" hidden="1" customHeight="1">
      <c r="A1964" s="1556"/>
      <c r="B1964" s="3277"/>
      <c r="C1964" s="3287" t="s">
        <v>791</v>
      </c>
      <c r="D1964" s="3288" t="s">
        <v>792</v>
      </c>
      <c r="E1964" s="3280">
        <v>0</v>
      </c>
      <c r="F1964" s="2805"/>
      <c r="G1964" s="3070"/>
      <c r="H1964" s="2807"/>
    </row>
    <row r="1965" spans="1:10" ht="16.5" hidden="1" customHeight="1">
      <c r="A1965" s="1556"/>
      <c r="B1965" s="3277"/>
      <c r="C1965" s="3287" t="s">
        <v>836</v>
      </c>
      <c r="D1965" s="3288" t="s">
        <v>740</v>
      </c>
      <c r="E1965" s="3280">
        <v>0</v>
      </c>
      <c r="F1965" s="2805"/>
      <c r="G1965" s="3070"/>
      <c r="H1965" s="2807"/>
    </row>
    <row r="1966" spans="1:10" ht="16.5" hidden="1" customHeight="1">
      <c r="A1966" s="1556"/>
      <c r="B1966" s="3277"/>
      <c r="C1966" s="3287" t="s">
        <v>794</v>
      </c>
      <c r="D1966" s="3288" t="s">
        <v>740</v>
      </c>
      <c r="E1966" s="3280">
        <v>0</v>
      </c>
      <c r="F1966" s="2805"/>
      <c r="G1966" s="3070"/>
      <c r="H1966" s="2807"/>
    </row>
    <row r="1967" spans="1:10" s="1622" customFormat="1" ht="16.5" customHeight="1">
      <c r="A1967" s="1631"/>
      <c r="B1967" s="1637"/>
      <c r="C1967" s="3289" t="s">
        <v>837</v>
      </c>
      <c r="D1967" s="3246" t="s">
        <v>703</v>
      </c>
      <c r="E1967" s="3274">
        <v>8270</v>
      </c>
      <c r="F1967" s="2762">
        <v>0</v>
      </c>
      <c r="G1967" s="3168">
        <v>17933</v>
      </c>
      <c r="H1967" s="2756"/>
      <c r="J1967" s="1370"/>
    </row>
    <row r="1968" spans="1:10" s="1622" customFormat="1" ht="16.5" customHeight="1">
      <c r="A1968" s="1631"/>
      <c r="B1968" s="1637"/>
      <c r="C1968" s="3289" t="s">
        <v>796</v>
      </c>
      <c r="D1968" s="3290" t="s">
        <v>703</v>
      </c>
      <c r="E1968" s="3291">
        <v>1561</v>
      </c>
      <c r="F1968" s="2762">
        <v>0</v>
      </c>
      <c r="G1968" s="3168">
        <v>3165</v>
      </c>
      <c r="H1968" s="2756"/>
      <c r="J1968" s="1370"/>
    </row>
    <row r="1969" spans="1:10" ht="16.5" customHeight="1" thickBot="1">
      <c r="A1969" s="1556"/>
      <c r="B1969" s="3266"/>
      <c r="C1969" s="3267"/>
      <c r="D1969" s="3268"/>
      <c r="E1969" s="1828"/>
      <c r="F1969" s="2805"/>
      <c r="G1969" s="3070"/>
      <c r="H1969" s="2807"/>
    </row>
    <row r="1970" spans="1:10" s="1622" customFormat="1" ht="17.25" hidden="1" customHeight="1">
      <c r="A1970" s="1631"/>
      <c r="B1970" s="2520"/>
      <c r="C1970" s="4566" t="s">
        <v>744</v>
      </c>
      <c r="D1970" s="4566"/>
      <c r="E1970" s="3155">
        <f t="shared" ref="E1970:G1971" si="132">SUM(E1971)</f>
        <v>482236</v>
      </c>
      <c r="F1970" s="2784">
        <f t="shared" si="132"/>
        <v>0</v>
      </c>
      <c r="G1970" s="3157">
        <f t="shared" si="132"/>
        <v>0</v>
      </c>
      <c r="H1970" s="2782" t="e">
        <f t="shared" ref="H1970:H1973" si="133">G1970/F1970</f>
        <v>#DIV/0!</v>
      </c>
      <c r="J1970" s="1370"/>
    </row>
    <row r="1971" spans="1:10" s="1622" customFormat="1" ht="17.25" hidden="1" customHeight="1">
      <c r="A1971" s="1631"/>
      <c r="B1971" s="2520"/>
      <c r="C1971" s="4567" t="s">
        <v>745</v>
      </c>
      <c r="D1971" s="4558"/>
      <c r="E1971" s="3269">
        <f t="shared" si="132"/>
        <v>482236</v>
      </c>
      <c r="F1971" s="3272">
        <f>SUM(F1972:F1973)</f>
        <v>0</v>
      </c>
      <c r="G1971" s="3270">
        <f t="shared" si="132"/>
        <v>0</v>
      </c>
      <c r="H1971" s="3273" t="e">
        <f t="shared" si="133"/>
        <v>#DIV/0!</v>
      </c>
      <c r="J1971" s="1370"/>
    </row>
    <row r="1972" spans="1:10" s="1622" customFormat="1" ht="16.5" hidden="1" customHeight="1">
      <c r="A1972" s="1631"/>
      <c r="B1972" s="2520"/>
      <c r="C1972" s="3137" t="s">
        <v>755</v>
      </c>
      <c r="D1972" s="3292" t="s">
        <v>747</v>
      </c>
      <c r="E1972" s="3269">
        <v>482236</v>
      </c>
      <c r="F1972" s="2762"/>
      <c r="G1972" s="3168"/>
      <c r="H1972" s="2756" t="e">
        <f t="shared" si="133"/>
        <v>#DIV/0!</v>
      </c>
      <c r="J1972" s="1370"/>
    </row>
    <row r="1973" spans="1:10" s="1622" customFormat="1" ht="16.5" hidden="1" customHeight="1">
      <c r="A1973" s="1631"/>
      <c r="B1973" s="2520"/>
      <c r="C1973" s="3289" t="s">
        <v>746</v>
      </c>
      <c r="D1973" s="1889"/>
      <c r="E1973" s="3293"/>
      <c r="F1973" s="1859"/>
      <c r="G1973" s="1860"/>
      <c r="H1973" s="2756" t="e">
        <f t="shared" si="133"/>
        <v>#DIV/0!</v>
      </c>
      <c r="J1973" s="1370"/>
    </row>
    <row r="1974" spans="1:10" ht="17.25" hidden="1" customHeight="1">
      <c r="A1974" s="1556"/>
      <c r="B1974" s="3266"/>
      <c r="C1974" s="3294"/>
      <c r="D1974" s="3295" t="s">
        <v>1217</v>
      </c>
      <c r="E1974" s="3296">
        <v>0</v>
      </c>
      <c r="F1974" s="1909"/>
      <c r="G1974" s="2474"/>
      <c r="H1974" s="1942" t="e">
        <f t="shared" si="129"/>
        <v>#DIV/0!</v>
      </c>
    </row>
    <row r="1975" spans="1:10" ht="11.25" hidden="1" customHeight="1">
      <c r="A1975" s="1556"/>
      <c r="B1975" s="3266"/>
      <c r="C1975" s="4563" t="s">
        <v>688</v>
      </c>
      <c r="D1975" s="4563"/>
      <c r="E1975" s="3297">
        <v>0</v>
      </c>
      <c r="F1975" s="2805"/>
      <c r="G1975" s="3070"/>
      <c r="H1975" s="2807" t="e">
        <f t="shared" si="129"/>
        <v>#DIV/0!</v>
      </c>
    </row>
    <row r="1976" spans="1:10" ht="12" hidden="1" customHeight="1">
      <c r="A1976" s="1556"/>
      <c r="B1976" s="3266"/>
      <c r="C1976" s="4562" t="s">
        <v>797</v>
      </c>
      <c r="D1976" s="4562"/>
      <c r="E1976" s="3298">
        <v>0</v>
      </c>
      <c r="F1976" s="2805"/>
      <c r="G1976" s="3224"/>
      <c r="H1976" s="2807" t="e">
        <f t="shared" si="129"/>
        <v>#DIV/0!</v>
      </c>
    </row>
    <row r="1977" spans="1:10" ht="14.25" hidden="1" customHeight="1">
      <c r="A1977" s="1556"/>
      <c r="B1977" s="3266"/>
      <c r="C1977" s="3279" t="s">
        <v>623</v>
      </c>
      <c r="D1977" s="3069" t="s">
        <v>857</v>
      </c>
      <c r="E1977" s="3298">
        <v>0</v>
      </c>
      <c r="F1977" s="2805"/>
      <c r="G1977" s="3070"/>
      <c r="H1977" s="2807" t="e">
        <f t="shared" si="129"/>
        <v>#DIV/0!</v>
      </c>
    </row>
    <row r="1978" spans="1:10" ht="12" hidden="1" customHeight="1">
      <c r="A1978" s="1556"/>
      <c r="B1978" s="3266"/>
      <c r="C1978" s="3299"/>
      <c r="D1978" s="3300" t="s">
        <v>1218</v>
      </c>
      <c r="E1978" s="3301">
        <v>0</v>
      </c>
      <c r="F1978" s="2805"/>
      <c r="G1978" s="3224"/>
      <c r="H1978" s="2807" t="e">
        <f t="shared" si="129"/>
        <v>#DIV/0!</v>
      </c>
    </row>
    <row r="1979" spans="1:10" ht="12.75" hidden="1" customHeight="1">
      <c r="A1979" s="1556"/>
      <c r="B1979" s="3266"/>
      <c r="C1979" s="4563" t="s">
        <v>688</v>
      </c>
      <c r="D1979" s="4563"/>
      <c r="E1979" s="3297">
        <v>0</v>
      </c>
      <c r="F1979" s="2805"/>
      <c r="G1979" s="3224"/>
      <c r="H1979" s="2807" t="e">
        <f t="shared" si="129"/>
        <v>#DIV/0!</v>
      </c>
    </row>
    <row r="1980" spans="1:10" ht="12.75" hidden="1" customHeight="1">
      <c r="A1980" s="1556"/>
      <c r="B1980" s="3266"/>
      <c r="C1980" s="4562" t="s">
        <v>797</v>
      </c>
      <c r="D1980" s="4562"/>
      <c r="E1980" s="3298">
        <v>0</v>
      </c>
      <c r="F1980" s="2805"/>
      <c r="G1980" s="3224"/>
      <c r="H1980" s="2807" t="e">
        <f t="shared" si="129"/>
        <v>#DIV/0!</v>
      </c>
    </row>
    <row r="1981" spans="1:10" ht="12" hidden="1" customHeight="1">
      <c r="A1981" s="1556"/>
      <c r="B1981" s="3266"/>
      <c r="C1981" s="3279" t="s">
        <v>623</v>
      </c>
      <c r="D1981" s="3069" t="s">
        <v>857</v>
      </c>
      <c r="E1981" s="3298">
        <v>0</v>
      </c>
      <c r="F1981" s="2805"/>
      <c r="G1981" s="3224"/>
      <c r="H1981" s="2807" t="e">
        <f t="shared" si="129"/>
        <v>#DIV/0!</v>
      </c>
    </row>
    <row r="1982" spans="1:10" ht="13.5" hidden="1" customHeight="1">
      <c r="A1982" s="1556"/>
      <c r="B1982" s="3266"/>
      <c r="C1982" s="3279" t="s">
        <v>984</v>
      </c>
      <c r="D1982" s="3069" t="s">
        <v>728</v>
      </c>
      <c r="E1982" s="3298">
        <v>0</v>
      </c>
      <c r="F1982" s="2805"/>
      <c r="G1982" s="3070"/>
      <c r="H1982" s="2807" t="e">
        <f t="shared" si="129"/>
        <v>#DIV/0!</v>
      </c>
    </row>
    <row r="1983" spans="1:10" ht="6.75" hidden="1" customHeight="1">
      <c r="A1983" s="1556"/>
      <c r="B1983" s="3266"/>
      <c r="C1983" s="2366"/>
      <c r="D1983" s="2366"/>
      <c r="E1983" s="2367"/>
      <c r="F1983" s="2805"/>
      <c r="G1983" s="3224"/>
      <c r="H1983" s="2807" t="e">
        <f t="shared" si="129"/>
        <v>#DIV/0!</v>
      </c>
    </row>
    <row r="1984" spans="1:10" ht="9" hidden="1" customHeight="1">
      <c r="A1984" s="1556"/>
      <c r="B1984" s="3266"/>
      <c r="C1984" s="4564" t="s">
        <v>744</v>
      </c>
      <c r="D1984" s="4564"/>
      <c r="E1984" s="3297">
        <v>0</v>
      </c>
      <c r="F1984" s="2805"/>
      <c r="G1984" s="3224"/>
      <c r="H1984" s="2807" t="e">
        <f t="shared" si="129"/>
        <v>#DIV/0!</v>
      </c>
    </row>
    <row r="1985" spans="1:10" ht="10.5" hidden="1" customHeight="1">
      <c r="A1985" s="1556"/>
      <c r="B1985" s="3266"/>
      <c r="C1985" s="4559" t="s">
        <v>745</v>
      </c>
      <c r="D1985" s="4559"/>
      <c r="E1985" s="3298">
        <v>0</v>
      </c>
      <c r="F1985" s="2805"/>
      <c r="G1985" s="3224"/>
      <c r="H1985" s="2807" t="e">
        <f t="shared" si="129"/>
        <v>#DIV/0!</v>
      </c>
    </row>
    <row r="1986" spans="1:10" ht="12.75" hidden="1" customHeight="1">
      <c r="A1986" s="1556"/>
      <c r="B1986" s="3266"/>
      <c r="C1986" s="3302" t="s">
        <v>755</v>
      </c>
      <c r="D1986" s="3303" t="s">
        <v>747</v>
      </c>
      <c r="E1986" s="3280">
        <v>0</v>
      </c>
      <c r="F1986" s="2805"/>
      <c r="G1986" s="3224"/>
      <c r="H1986" s="2807" t="e">
        <f t="shared" si="129"/>
        <v>#DIV/0!</v>
      </c>
    </row>
    <row r="1987" spans="1:10" ht="10.5" hidden="1" customHeight="1" thickBot="1">
      <c r="A1987" s="1556"/>
      <c r="B1987" s="3304"/>
      <c r="C1987" s="3305" t="s">
        <v>746</v>
      </c>
      <c r="D1987" s="3306" t="s">
        <v>801</v>
      </c>
      <c r="E1987" s="3307">
        <v>0</v>
      </c>
      <c r="F1987" s="2408"/>
      <c r="G1987" s="3094"/>
      <c r="H1987" s="2807" t="e">
        <f t="shared" si="129"/>
        <v>#DIV/0!</v>
      </c>
    </row>
    <row r="1988" spans="1:10" ht="12" hidden="1" customHeight="1" thickBot="1">
      <c r="A1988" s="1556"/>
      <c r="B1988" s="1557" t="s">
        <v>1219</v>
      </c>
      <c r="C1988" s="1558"/>
      <c r="D1988" s="2844" t="s">
        <v>1220</v>
      </c>
      <c r="E1988" s="1560">
        <v>0</v>
      </c>
      <c r="F1988" s="1909"/>
      <c r="G1988" s="2474"/>
      <c r="H1988" s="2807" t="e">
        <f t="shared" si="129"/>
        <v>#DIV/0!</v>
      </c>
    </row>
    <row r="1989" spans="1:10" ht="9" hidden="1" customHeight="1">
      <c r="A1989" s="1556"/>
      <c r="B1989" s="1750"/>
      <c r="C1989" s="4565" t="s">
        <v>744</v>
      </c>
      <c r="D1989" s="4565"/>
      <c r="E1989" s="3115">
        <v>0</v>
      </c>
      <c r="F1989" s="2805"/>
      <c r="G1989" s="3224"/>
      <c r="H1989" s="2807" t="e">
        <f t="shared" si="129"/>
        <v>#DIV/0!</v>
      </c>
    </row>
    <row r="1990" spans="1:10" ht="6" hidden="1" customHeight="1">
      <c r="A1990" s="1556"/>
      <c r="B1990" s="1750"/>
      <c r="C1990" s="4559" t="s">
        <v>745</v>
      </c>
      <c r="D1990" s="4559"/>
      <c r="E1990" s="3298">
        <v>0</v>
      </c>
      <c r="F1990" s="2805"/>
      <c r="G1990" s="3070"/>
      <c r="H1990" s="2807" t="e">
        <f t="shared" si="129"/>
        <v>#DIV/0!</v>
      </c>
    </row>
    <row r="1991" spans="1:10" ht="12" hidden="1" customHeight="1" thickBot="1">
      <c r="A1991" s="1556"/>
      <c r="B1991" s="1750"/>
      <c r="C1991" s="3210" t="s">
        <v>975</v>
      </c>
      <c r="D1991" s="3211" t="s">
        <v>976</v>
      </c>
      <c r="E1991" s="1828">
        <v>0</v>
      </c>
      <c r="F1991" s="2805"/>
      <c r="G1991" s="3070"/>
      <c r="H1991" s="2807" t="e">
        <f t="shared" si="129"/>
        <v>#DIV/0!</v>
      </c>
    </row>
    <row r="1992" spans="1:10" ht="5.25" hidden="1" customHeight="1" thickBot="1">
      <c r="A1992" s="3223"/>
      <c r="B1992" s="3255" t="s">
        <v>1221</v>
      </c>
      <c r="C1992" s="3256"/>
      <c r="D1992" s="3257" t="s">
        <v>807</v>
      </c>
      <c r="E1992" s="2499">
        <v>0</v>
      </c>
      <c r="F1992" s="2805"/>
      <c r="G1992" s="3070"/>
      <c r="H1992" s="2807" t="e">
        <f t="shared" si="129"/>
        <v>#DIV/0!</v>
      </c>
    </row>
    <row r="1993" spans="1:10" ht="9.75" hidden="1" customHeight="1">
      <c r="A1993" s="3223"/>
      <c r="B1993" s="4560"/>
      <c r="C1993" s="4376" t="s">
        <v>688</v>
      </c>
      <c r="D1993" s="4376"/>
      <c r="E1993" s="2500">
        <v>0</v>
      </c>
      <c r="F1993" s="2805"/>
      <c r="G1993" s="3224"/>
      <c r="H1993" s="2807" t="e">
        <f t="shared" si="129"/>
        <v>#DIV/0!</v>
      </c>
    </row>
    <row r="1994" spans="1:10" ht="9" hidden="1" customHeight="1">
      <c r="A1994" s="3223"/>
      <c r="B1994" s="4560"/>
      <c r="C1994" s="4562" t="s">
        <v>797</v>
      </c>
      <c r="D1994" s="4562"/>
      <c r="E1994" s="3298">
        <v>0</v>
      </c>
      <c r="F1994" s="2805"/>
      <c r="G1994" s="3070"/>
      <c r="H1994" s="2807" t="e">
        <f t="shared" si="129"/>
        <v>#DIV/0!</v>
      </c>
    </row>
    <row r="1995" spans="1:10" ht="7.5" hidden="1" customHeight="1" thickBot="1">
      <c r="A1995" s="3223"/>
      <c r="B1995" s="4561"/>
      <c r="C1995" s="3308" t="s">
        <v>353</v>
      </c>
      <c r="D1995" s="3309" t="s">
        <v>1222</v>
      </c>
      <c r="E1995" s="2811">
        <v>0</v>
      </c>
      <c r="F1995" s="2408"/>
      <c r="G1995" s="3094"/>
      <c r="H1995" s="3071" t="e">
        <f t="shared" si="129"/>
        <v>#DIV/0!</v>
      </c>
    </row>
    <row r="1996" spans="1:10" s="1622" customFormat="1" ht="17.100000000000001" customHeight="1" thickBot="1">
      <c r="A1996" s="1631"/>
      <c r="B1996" s="1624" t="s">
        <v>1223</v>
      </c>
      <c r="C1996" s="1625"/>
      <c r="D1996" s="1626" t="s">
        <v>454</v>
      </c>
      <c r="E1996" s="1627">
        <f>SUM(E1997,E2003)</f>
        <v>0</v>
      </c>
      <c r="F1996" s="1628">
        <f>SUM(F1997,F2003)</f>
        <v>1225000</v>
      </c>
      <c r="G1996" s="1629">
        <f>SUM(G1997,G2003)</f>
        <v>0</v>
      </c>
      <c r="H1996" s="1630">
        <f t="shared" si="129"/>
        <v>0</v>
      </c>
      <c r="J1996" s="1370"/>
    </row>
    <row r="1997" spans="1:10" s="1622" customFormat="1" ht="17.100000000000001" customHeight="1">
      <c r="A1997" s="1631"/>
      <c r="B1997" s="3310"/>
      <c r="C1997" s="4426" t="s">
        <v>688</v>
      </c>
      <c r="D1997" s="4426"/>
      <c r="E1997" s="2506">
        <f t="shared" ref="E1997:G1998" si="134">SUM(E1998)</f>
        <v>0</v>
      </c>
      <c r="F1997" s="1634">
        <f t="shared" si="134"/>
        <v>233626</v>
      </c>
      <c r="G1997" s="2507">
        <f t="shared" si="134"/>
        <v>0</v>
      </c>
      <c r="H1997" s="1636">
        <f t="shared" si="129"/>
        <v>0</v>
      </c>
      <c r="J1997" s="1370"/>
    </row>
    <row r="1998" spans="1:10" s="1622" customFormat="1" ht="17.100000000000001" customHeight="1">
      <c r="A1998" s="1631"/>
      <c r="B1998" s="3310"/>
      <c r="C1998" s="4546" t="s">
        <v>689</v>
      </c>
      <c r="D1998" s="4546"/>
      <c r="E1998" s="3269">
        <f t="shared" si="134"/>
        <v>0</v>
      </c>
      <c r="F1998" s="2762">
        <f t="shared" si="134"/>
        <v>233626</v>
      </c>
      <c r="G1998" s="3311">
        <f t="shared" si="134"/>
        <v>0</v>
      </c>
      <c r="H1998" s="2756">
        <f t="shared" si="129"/>
        <v>0</v>
      </c>
      <c r="J1998" s="1370"/>
    </row>
    <row r="1999" spans="1:10" s="1622" customFormat="1" ht="17.100000000000001" customHeight="1">
      <c r="A1999" s="1631"/>
      <c r="B1999" s="3310"/>
      <c r="C1999" s="4556" t="s">
        <v>704</v>
      </c>
      <c r="D1999" s="4557"/>
      <c r="E1999" s="3312">
        <f>SUM(E2000:E2001)</f>
        <v>0</v>
      </c>
      <c r="F1999" s="3236">
        <f>SUM(F2000:F2001)</f>
        <v>233626</v>
      </c>
      <c r="G1999" s="3237">
        <f>SUM(G2000:G2001)</f>
        <v>0</v>
      </c>
      <c r="H1999" s="3216">
        <f t="shared" si="129"/>
        <v>0</v>
      </c>
      <c r="J1999" s="1370"/>
    </row>
    <row r="2000" spans="1:10" s="1622" customFormat="1" ht="17.100000000000001" customHeight="1">
      <c r="A2000" s="1631"/>
      <c r="B2000" s="3310"/>
      <c r="C2000" s="1886" t="s">
        <v>707</v>
      </c>
      <c r="D2000" s="3206" t="s">
        <v>708</v>
      </c>
      <c r="E2000" s="3274">
        <v>0</v>
      </c>
      <c r="F2000" s="3188">
        <v>8626</v>
      </c>
      <c r="G2000" s="2839">
        <v>0</v>
      </c>
      <c r="H2000" s="2756">
        <f t="shared" si="129"/>
        <v>0</v>
      </c>
      <c r="J2000" s="1370"/>
    </row>
    <row r="2001" spans="1:10" s="1622" customFormat="1" ht="16.5" customHeight="1">
      <c r="A2001" s="1631"/>
      <c r="B2001" s="3310"/>
      <c r="C2001" s="3238" t="s">
        <v>717</v>
      </c>
      <c r="D2001" s="3313" t="s">
        <v>718</v>
      </c>
      <c r="E2001" s="3291">
        <v>0</v>
      </c>
      <c r="F2001" s="2762">
        <v>225000</v>
      </c>
      <c r="G2001" s="3168">
        <v>0</v>
      </c>
      <c r="H2001" s="2756">
        <f t="shared" si="129"/>
        <v>0</v>
      </c>
      <c r="J2001" s="1370"/>
    </row>
    <row r="2002" spans="1:10" s="1622" customFormat="1" ht="16.5" customHeight="1">
      <c r="A2002" s="1653"/>
      <c r="B2002" s="3310"/>
      <c r="C2002" s="3314"/>
      <c r="D2002" s="3315"/>
      <c r="E2002" s="3314"/>
      <c r="F2002" s="2762"/>
      <c r="G2002" s="3168"/>
      <c r="H2002" s="2756"/>
      <c r="J2002" s="1370"/>
    </row>
    <row r="2003" spans="1:10" s="1622" customFormat="1" ht="16.5" customHeight="1">
      <c r="A2003" s="1631"/>
      <c r="B2003" s="3310"/>
      <c r="C2003" s="4442" t="s">
        <v>744</v>
      </c>
      <c r="D2003" s="4442"/>
      <c r="E2003" s="2506">
        <f t="shared" ref="E2003:G2004" si="135">SUM(E2004)</f>
        <v>0</v>
      </c>
      <c r="F2003" s="1634">
        <f t="shared" si="135"/>
        <v>991374</v>
      </c>
      <c r="G2003" s="2507">
        <f t="shared" si="135"/>
        <v>0</v>
      </c>
      <c r="H2003" s="1636">
        <f t="shared" ref="H2003:H2011" si="136">G2003/F2003</f>
        <v>0</v>
      </c>
      <c r="J2003" s="1370"/>
    </row>
    <row r="2004" spans="1:10" s="1622" customFormat="1" ht="17.25" customHeight="1">
      <c r="A2004" s="1631"/>
      <c r="B2004" s="3310"/>
      <c r="C2004" s="4558" t="s">
        <v>745</v>
      </c>
      <c r="D2004" s="4558"/>
      <c r="E2004" s="3269">
        <f t="shared" si="135"/>
        <v>0</v>
      </c>
      <c r="F2004" s="2762">
        <f t="shared" si="135"/>
        <v>991374</v>
      </c>
      <c r="G2004" s="3311">
        <f t="shared" si="135"/>
        <v>0</v>
      </c>
      <c r="H2004" s="2756">
        <f t="shared" si="136"/>
        <v>0</v>
      </c>
      <c r="J2004" s="1370"/>
    </row>
    <row r="2005" spans="1:10" s="1622" customFormat="1" ht="17.25" customHeight="1" thickBot="1">
      <c r="A2005" s="1673"/>
      <c r="B2005" s="3316"/>
      <c r="C2005" s="3197" t="s">
        <v>746</v>
      </c>
      <c r="D2005" s="3198" t="s">
        <v>801</v>
      </c>
      <c r="E2005" s="3317">
        <v>0</v>
      </c>
      <c r="F2005" s="1676">
        <v>991374</v>
      </c>
      <c r="G2005" s="2781">
        <v>0</v>
      </c>
      <c r="H2005" s="1678">
        <f t="shared" si="136"/>
        <v>0</v>
      </c>
      <c r="J2005" s="1370"/>
    </row>
    <row r="2006" spans="1:10" s="1622" customFormat="1" ht="17.100000000000001" customHeight="1" thickBot="1">
      <c r="A2006" s="1623"/>
      <c r="B2006" s="1624" t="s">
        <v>1224</v>
      </c>
      <c r="C2006" s="1625"/>
      <c r="D2006" s="1626" t="s">
        <v>312</v>
      </c>
      <c r="E2006" s="1627">
        <f>SUM(E2007,E2088)</f>
        <v>16222304</v>
      </c>
      <c r="F2006" s="1628">
        <f>SUM(F2007,F2088)</f>
        <v>19430987</v>
      </c>
      <c r="G2006" s="1629">
        <f>SUM(G2007,G2088)</f>
        <v>10594230</v>
      </c>
      <c r="H2006" s="1630">
        <f t="shared" si="136"/>
        <v>0.5452234618859042</v>
      </c>
      <c r="J2006" s="1370"/>
    </row>
    <row r="2007" spans="1:10" s="1622" customFormat="1" ht="17.100000000000001" customHeight="1">
      <c r="A2007" s="1631"/>
      <c r="B2007" s="1637"/>
      <c r="C2007" s="4426" t="s">
        <v>688</v>
      </c>
      <c r="D2007" s="4426"/>
      <c r="E2007" s="2506">
        <f>SUM(E2008,E2015,E2023)</f>
        <v>15850760</v>
      </c>
      <c r="F2007" s="1634">
        <f>SUM(F2008,F2015,F2023)</f>
        <v>19201168</v>
      </c>
      <c r="G2007" s="2507">
        <f>SUM(G2008,G2015,G2023)</f>
        <v>10594230</v>
      </c>
      <c r="H2007" s="1636">
        <f t="shared" si="136"/>
        <v>0.55174924775409495</v>
      </c>
      <c r="J2007" s="1370"/>
    </row>
    <row r="2008" spans="1:10" s="1622" customFormat="1" ht="17.100000000000001" customHeight="1">
      <c r="A2008" s="1631"/>
      <c r="B2008" s="3310"/>
      <c r="C2008" s="4546" t="s">
        <v>689</v>
      </c>
      <c r="D2008" s="4546"/>
      <c r="E2008" s="3269">
        <f>SUM(E2009)</f>
        <v>0</v>
      </c>
      <c r="F2008" s="2762">
        <f>SUM(F2009)</f>
        <v>845039</v>
      </c>
      <c r="G2008" s="3270">
        <f>SUM(G2009)</f>
        <v>289000</v>
      </c>
      <c r="H2008" s="2756">
        <f t="shared" si="136"/>
        <v>0.34199604988645493</v>
      </c>
      <c r="J2008" s="1370"/>
    </row>
    <row r="2009" spans="1:10" s="1622" customFormat="1" ht="17.100000000000001" customHeight="1">
      <c r="A2009" s="1631"/>
      <c r="B2009" s="3310"/>
      <c r="C2009" s="4556" t="s">
        <v>704</v>
      </c>
      <c r="D2009" s="4557"/>
      <c r="E2009" s="3312">
        <f>SUM(E2010:E2011)</f>
        <v>0</v>
      </c>
      <c r="F2009" s="3318">
        <f>SUM(F2010:F2013)</f>
        <v>845039</v>
      </c>
      <c r="G2009" s="3318">
        <f>SUM(G2010:G2013)</f>
        <v>289000</v>
      </c>
      <c r="H2009" s="3216">
        <f t="shared" si="136"/>
        <v>0.34199604988645493</v>
      </c>
      <c r="J2009" s="1370"/>
    </row>
    <row r="2010" spans="1:10" s="1622" customFormat="1" ht="17.100000000000001" customHeight="1">
      <c r="A2010" s="1631"/>
      <c r="B2010" s="3310"/>
      <c r="C2010" s="3289" t="s">
        <v>707</v>
      </c>
      <c r="D2010" s="3319" t="s">
        <v>708</v>
      </c>
      <c r="E2010" s="3274">
        <v>0</v>
      </c>
      <c r="F2010" s="2762">
        <v>545039</v>
      </c>
      <c r="G2010" s="2839">
        <v>0</v>
      </c>
      <c r="H2010" s="2756">
        <f t="shared" si="136"/>
        <v>0</v>
      </c>
      <c r="J2010" s="1370"/>
    </row>
    <row r="2011" spans="1:10" s="1622" customFormat="1" ht="16.5" customHeight="1">
      <c r="A2011" s="1631"/>
      <c r="B2011" s="3310"/>
      <c r="C2011" s="3238" t="s">
        <v>717</v>
      </c>
      <c r="D2011" s="3239" t="s">
        <v>718</v>
      </c>
      <c r="E2011" s="3135">
        <v>0</v>
      </c>
      <c r="F2011" s="2762">
        <v>300000</v>
      </c>
      <c r="G2011" s="3145">
        <v>0</v>
      </c>
      <c r="H2011" s="2756">
        <f t="shared" si="136"/>
        <v>0</v>
      </c>
      <c r="J2011" s="1370"/>
    </row>
    <row r="2012" spans="1:10" s="1622" customFormat="1" ht="27" customHeight="1">
      <c r="A2012" s="1631"/>
      <c r="B2012" s="3310"/>
      <c r="C2012" s="3219" t="s">
        <v>1225</v>
      </c>
      <c r="D2012" s="3222" t="s">
        <v>1226</v>
      </c>
      <c r="E2012" s="2459"/>
      <c r="F2012" s="1859">
        <v>0</v>
      </c>
      <c r="G2012" s="2558">
        <v>200000</v>
      </c>
      <c r="H2012" s="1659"/>
      <c r="J2012" s="1370" t="s">
        <v>931</v>
      </c>
    </row>
    <row r="2013" spans="1:10" s="1622" customFormat="1" ht="16.5" customHeight="1">
      <c r="A2013" s="1631"/>
      <c r="B2013" s="3310"/>
      <c r="C2013" s="3285" t="s">
        <v>929</v>
      </c>
      <c r="D2013" s="3320" t="s">
        <v>930</v>
      </c>
      <c r="E2013" s="3321"/>
      <c r="F2013" s="1859">
        <v>0</v>
      </c>
      <c r="G2013" s="1860">
        <v>89000</v>
      </c>
      <c r="H2013" s="1659"/>
      <c r="J2013" s="1370" t="s">
        <v>931</v>
      </c>
    </row>
    <row r="2014" spans="1:10" s="1622" customFormat="1" ht="16.5" customHeight="1">
      <c r="A2014" s="1653"/>
      <c r="B2014" s="3310"/>
      <c r="C2014" s="2648"/>
      <c r="D2014" s="2649"/>
      <c r="E2014" s="3321"/>
      <c r="F2014" s="1859"/>
      <c r="G2014" s="1860"/>
      <c r="H2014" s="1659"/>
      <c r="J2014" s="1370"/>
    </row>
    <row r="2015" spans="1:10" s="1622" customFormat="1" ht="17.100000000000001" customHeight="1">
      <c r="A2015" s="1631"/>
      <c r="B2015" s="1637"/>
      <c r="C2015" s="4546" t="s">
        <v>797</v>
      </c>
      <c r="D2015" s="4546"/>
      <c r="E2015" s="3269">
        <f>SUM(E2016:E2021)</f>
        <v>11829997</v>
      </c>
      <c r="F2015" s="2762">
        <f>SUM(F2016:F2021)</f>
        <v>13302336</v>
      </c>
      <c r="G2015" s="3270">
        <f>SUM(G2016:G2021)</f>
        <v>6402058</v>
      </c>
      <c r="H2015" s="2756">
        <f t="shared" ref="H2015:H2021" si="137">G2015/F2015</f>
        <v>0.4812732139678324</v>
      </c>
      <c r="J2015" s="1370"/>
    </row>
    <row r="2016" spans="1:10" s="1622" customFormat="1" ht="66.75" customHeight="1">
      <c r="A2016" s="1631"/>
      <c r="B2016" s="1637"/>
      <c r="C2016" s="3205" t="s">
        <v>623</v>
      </c>
      <c r="D2016" s="3206" t="s">
        <v>822</v>
      </c>
      <c r="E2016" s="3269">
        <v>9041963</v>
      </c>
      <c r="F2016" s="2762">
        <v>10084260</v>
      </c>
      <c r="G2016" s="3145">
        <v>4711394</v>
      </c>
      <c r="H2016" s="2756">
        <f t="shared" si="137"/>
        <v>0.46720274963160413</v>
      </c>
      <c r="J2016" s="1370" t="s">
        <v>823</v>
      </c>
    </row>
    <row r="2017" spans="1:10" s="1622" customFormat="1" ht="60" customHeight="1">
      <c r="A2017" s="1631"/>
      <c r="B2017" s="1637"/>
      <c r="C2017" s="3205" t="s">
        <v>448</v>
      </c>
      <c r="D2017" s="3247" t="s">
        <v>764</v>
      </c>
      <c r="E2017" s="3269">
        <v>2788034</v>
      </c>
      <c r="F2017" s="2762">
        <v>2666113</v>
      </c>
      <c r="G2017" s="3168">
        <v>1490664</v>
      </c>
      <c r="H2017" s="2756">
        <f t="shared" si="137"/>
        <v>0.55911508626978679</v>
      </c>
      <c r="J2017" s="1370" t="s">
        <v>823</v>
      </c>
    </row>
    <row r="2018" spans="1:10" s="1622" customFormat="1" ht="40.5" customHeight="1">
      <c r="A2018" s="1631"/>
      <c r="B2018" s="1637"/>
      <c r="C2018" s="3322" t="s">
        <v>1227</v>
      </c>
      <c r="D2018" s="3247" t="s">
        <v>1228</v>
      </c>
      <c r="E2018" s="3274"/>
      <c r="F2018" s="2762">
        <v>0</v>
      </c>
      <c r="G2018" s="3168">
        <v>200000</v>
      </c>
      <c r="H2018" s="2756"/>
      <c r="J2018" s="1370" t="s">
        <v>931</v>
      </c>
    </row>
    <row r="2019" spans="1:10" s="1622" customFormat="1" ht="51">
      <c r="A2019" s="1631"/>
      <c r="B2019" s="1637"/>
      <c r="C2019" s="3322" t="s">
        <v>374</v>
      </c>
      <c r="D2019" s="3206" t="s">
        <v>817</v>
      </c>
      <c r="E2019" s="3274"/>
      <c r="F2019" s="2762">
        <v>101790</v>
      </c>
      <c r="G2019" s="3168">
        <v>0</v>
      </c>
      <c r="H2019" s="2756">
        <f t="shared" si="137"/>
        <v>0</v>
      </c>
      <c r="J2019" s="1370"/>
    </row>
    <row r="2020" spans="1:10" s="1622" customFormat="1" ht="54.75" customHeight="1">
      <c r="A2020" s="1631"/>
      <c r="B2020" s="1637"/>
      <c r="C2020" s="3137" t="s">
        <v>564</v>
      </c>
      <c r="D2020" s="3242" t="s">
        <v>948</v>
      </c>
      <c r="E2020" s="3187">
        <v>0</v>
      </c>
      <c r="F2020" s="2762">
        <v>21318</v>
      </c>
      <c r="G2020" s="3168">
        <v>0</v>
      </c>
      <c r="H2020" s="2756">
        <f t="shared" si="137"/>
        <v>0</v>
      </c>
      <c r="J2020" s="1370"/>
    </row>
    <row r="2021" spans="1:10" s="1622" customFormat="1" ht="15" customHeight="1">
      <c r="A2021" s="1631"/>
      <c r="B2021" s="1637"/>
      <c r="C2021" s="3137">
        <v>2959</v>
      </c>
      <c r="D2021" s="3220" t="s">
        <v>825</v>
      </c>
      <c r="E2021" s="3291">
        <v>0</v>
      </c>
      <c r="F2021" s="2762">
        <v>428855</v>
      </c>
      <c r="G2021" s="3168">
        <v>0</v>
      </c>
      <c r="H2021" s="2756">
        <f t="shared" si="137"/>
        <v>0</v>
      </c>
      <c r="J2021" s="1370"/>
    </row>
    <row r="2022" spans="1:10" s="1622" customFormat="1" ht="16.5" customHeight="1">
      <c r="A2022" s="1631"/>
      <c r="B2022" s="1637"/>
      <c r="C2022" s="3323"/>
      <c r="D2022" s="3324"/>
      <c r="E2022" s="3269"/>
      <c r="F2022" s="2762"/>
      <c r="G2022" s="3168"/>
      <c r="H2022" s="2756"/>
      <c r="J2022" s="1370"/>
    </row>
    <row r="2023" spans="1:10" s="1622" customFormat="1" ht="15.75" customHeight="1">
      <c r="A2023" s="1631"/>
      <c r="B2023" s="1637"/>
      <c r="C2023" s="4546" t="s">
        <v>761</v>
      </c>
      <c r="D2023" s="4547"/>
      <c r="E2023" s="3269">
        <f>SUM(E2026:E2086)</f>
        <v>4020763</v>
      </c>
      <c r="F2023" s="2762">
        <f>SUM(F2026:F2086)</f>
        <v>5053793</v>
      </c>
      <c r="G2023" s="3311">
        <f>SUM(G2026:G2086)</f>
        <v>3903172</v>
      </c>
      <c r="H2023" s="2756">
        <f t="shared" ref="H2023:H2086" si="138">G2023/F2023</f>
        <v>0.77232526144224745</v>
      </c>
      <c r="J2023" s="1370" t="s">
        <v>931</v>
      </c>
    </row>
    <row r="2024" spans="1:10" s="1622" customFormat="1" ht="63" hidden="1" customHeight="1">
      <c r="A2024" s="1631"/>
      <c r="B2024" s="1637"/>
      <c r="C2024" s="3325" t="s">
        <v>459</v>
      </c>
      <c r="D2024" s="3326" t="s">
        <v>1199</v>
      </c>
      <c r="E2024" s="3274">
        <v>0</v>
      </c>
      <c r="F2024" s="2762"/>
      <c r="G2024" s="3168"/>
      <c r="H2024" s="2756" t="e">
        <f t="shared" si="138"/>
        <v>#DIV/0!</v>
      </c>
      <c r="J2024" s="1370"/>
    </row>
    <row r="2025" spans="1:10" s="1622" customFormat="1" ht="60.75" hidden="1" customHeight="1">
      <c r="A2025" s="1631"/>
      <c r="B2025" s="1637"/>
      <c r="C2025" s="3325" t="s">
        <v>623</v>
      </c>
      <c r="D2025" s="3326" t="s">
        <v>822</v>
      </c>
      <c r="E2025" s="3274">
        <v>0</v>
      </c>
      <c r="F2025" s="2762"/>
      <c r="G2025" s="3168"/>
      <c r="H2025" s="2756" t="e">
        <f t="shared" si="138"/>
        <v>#DIV/0!</v>
      </c>
      <c r="J2025" s="1370"/>
    </row>
    <row r="2026" spans="1:10" s="1622" customFormat="1" ht="60" customHeight="1">
      <c r="A2026" s="1631"/>
      <c r="B2026" s="1637"/>
      <c r="C2026" s="3205" t="s">
        <v>446</v>
      </c>
      <c r="D2026" s="3327" t="s">
        <v>764</v>
      </c>
      <c r="E2026" s="3274">
        <v>1681242</v>
      </c>
      <c r="F2026" s="2762">
        <v>2572330</v>
      </c>
      <c r="G2026" s="3168">
        <v>2391539</v>
      </c>
      <c r="H2026" s="2756">
        <f t="shared" si="138"/>
        <v>0.92971702697554359</v>
      </c>
      <c r="J2026" s="1370"/>
    </row>
    <row r="2027" spans="1:10" s="1622" customFormat="1" ht="60.75" customHeight="1">
      <c r="A2027" s="1653"/>
      <c r="B2027" s="1637"/>
      <c r="C2027" s="3166" t="s">
        <v>448</v>
      </c>
      <c r="D2027" s="3328" t="s">
        <v>764</v>
      </c>
      <c r="E2027" s="3269">
        <v>313588</v>
      </c>
      <c r="F2027" s="2762">
        <v>216917</v>
      </c>
      <c r="G2027" s="3168">
        <v>414979</v>
      </c>
      <c r="H2027" s="2756">
        <f t="shared" si="138"/>
        <v>1.913077352166958</v>
      </c>
      <c r="J2027" s="1370"/>
    </row>
    <row r="2028" spans="1:10" s="1622" customFormat="1" ht="59.25" hidden="1" customHeight="1">
      <c r="A2028" s="1631"/>
      <c r="B2028" s="1637"/>
      <c r="C2028" s="3329" t="s">
        <v>420</v>
      </c>
      <c r="D2028" s="3247" t="s">
        <v>948</v>
      </c>
      <c r="E2028" s="2423">
        <v>0</v>
      </c>
      <c r="F2028" s="1859"/>
      <c r="G2028" s="2558"/>
      <c r="H2028" s="1659" t="e">
        <f t="shared" si="138"/>
        <v>#DIV/0!</v>
      </c>
      <c r="J2028" s="1370"/>
    </row>
    <row r="2029" spans="1:10" s="1622" customFormat="1" ht="54.75" hidden="1" customHeight="1">
      <c r="A2029" s="1631"/>
      <c r="B2029" s="1637"/>
      <c r="C2029" s="3322" t="s">
        <v>564</v>
      </c>
      <c r="D2029" s="3247" t="s">
        <v>765</v>
      </c>
      <c r="E2029" s="3274">
        <v>0</v>
      </c>
      <c r="F2029" s="2762"/>
      <c r="G2029" s="3168"/>
      <c r="H2029" s="2756" t="e">
        <f t="shared" si="138"/>
        <v>#DIV/0!</v>
      </c>
      <c r="J2029" s="1370"/>
    </row>
    <row r="2030" spans="1:10" s="1622" customFormat="1" ht="16.5" customHeight="1">
      <c r="A2030" s="1653"/>
      <c r="B2030" s="1637"/>
      <c r="C2030" s="3330" t="s">
        <v>610</v>
      </c>
      <c r="D2030" s="3247" t="s">
        <v>825</v>
      </c>
      <c r="E2030" s="3274">
        <v>0</v>
      </c>
      <c r="F2030" s="2762">
        <v>34651</v>
      </c>
      <c r="G2030" s="3168">
        <v>0</v>
      </c>
      <c r="H2030" s="2756">
        <f t="shared" si="138"/>
        <v>0</v>
      </c>
      <c r="J2030" s="1370"/>
    </row>
    <row r="2031" spans="1:10" s="1622" customFormat="1" ht="16.5" customHeight="1">
      <c r="A2031" s="1631"/>
      <c r="B2031" s="1637"/>
      <c r="C2031" s="3330" t="s">
        <v>565</v>
      </c>
      <c r="D2031" s="3331" t="s">
        <v>825</v>
      </c>
      <c r="E2031" s="3274">
        <v>0</v>
      </c>
      <c r="F2031" s="2762">
        <v>5230</v>
      </c>
      <c r="G2031" s="3168">
        <v>0</v>
      </c>
      <c r="H2031" s="2756">
        <f t="shared" si="138"/>
        <v>0</v>
      </c>
      <c r="J2031" s="1370"/>
    </row>
    <row r="2032" spans="1:10" ht="16.5" hidden="1" customHeight="1">
      <c r="A2032" s="1556"/>
      <c r="B2032" s="3277"/>
      <c r="C2032" s="3332" t="s">
        <v>1229</v>
      </c>
      <c r="D2032" s="3069" t="s">
        <v>993</v>
      </c>
      <c r="E2032" s="3280">
        <v>0</v>
      </c>
      <c r="F2032" s="2805"/>
      <c r="G2032" s="3070"/>
      <c r="H2032" s="2807" t="e">
        <f t="shared" si="138"/>
        <v>#DIV/0!</v>
      </c>
    </row>
    <row r="2033" spans="1:10" ht="16.5" hidden="1" customHeight="1">
      <c r="A2033" s="1556"/>
      <c r="B2033" s="3277"/>
      <c r="C2033" s="3333" t="s">
        <v>996</v>
      </c>
      <c r="D2033" s="3069" t="s">
        <v>993</v>
      </c>
      <c r="E2033" s="3280">
        <v>0</v>
      </c>
      <c r="F2033" s="2805"/>
      <c r="G2033" s="3070"/>
      <c r="H2033" s="2807" t="e">
        <f t="shared" si="138"/>
        <v>#DIV/0!</v>
      </c>
    </row>
    <row r="2034" spans="1:10" ht="16.5" hidden="1" customHeight="1">
      <c r="A2034" s="1556"/>
      <c r="B2034" s="3277"/>
      <c r="C2034" s="3333" t="s">
        <v>997</v>
      </c>
      <c r="D2034" s="3069" t="s">
        <v>993</v>
      </c>
      <c r="E2034" s="3280">
        <v>0</v>
      </c>
      <c r="F2034" s="2805"/>
      <c r="G2034" s="3070"/>
      <c r="H2034" s="2807" t="e">
        <f t="shared" si="138"/>
        <v>#DIV/0!</v>
      </c>
    </row>
    <row r="2035" spans="1:10" s="1622" customFormat="1" ht="16.5" customHeight="1">
      <c r="A2035" s="1631"/>
      <c r="B2035" s="1637"/>
      <c r="C2035" s="3205" t="s">
        <v>827</v>
      </c>
      <c r="D2035" s="3206" t="s">
        <v>693</v>
      </c>
      <c r="E2035" s="3274">
        <v>504613</v>
      </c>
      <c r="F2035" s="2762">
        <v>567160</v>
      </c>
      <c r="G2035" s="3168">
        <v>308258</v>
      </c>
      <c r="H2035" s="2756">
        <f t="shared" si="138"/>
        <v>0.54351153113759787</v>
      </c>
      <c r="J2035" s="1370"/>
    </row>
    <row r="2036" spans="1:10" s="1622" customFormat="1" ht="16.5" customHeight="1">
      <c r="A2036" s="1631"/>
      <c r="B2036" s="1637"/>
      <c r="C2036" s="3205" t="s">
        <v>766</v>
      </c>
      <c r="D2036" s="3206" t="s">
        <v>693</v>
      </c>
      <c r="E2036" s="3274">
        <v>0</v>
      </c>
      <c r="F2036" s="2762">
        <v>29644</v>
      </c>
      <c r="G2036" s="3168">
        <v>0</v>
      </c>
      <c r="H2036" s="2756">
        <f t="shared" si="138"/>
        <v>0</v>
      </c>
      <c r="J2036" s="1370"/>
    </row>
    <row r="2037" spans="1:10" s="1622" customFormat="1" ht="16.5" customHeight="1">
      <c r="A2037" s="1631"/>
      <c r="B2037" s="1637"/>
      <c r="C2037" s="3166" t="s">
        <v>767</v>
      </c>
      <c r="D2037" s="3221" t="s">
        <v>693</v>
      </c>
      <c r="E2037" s="3274">
        <v>136153</v>
      </c>
      <c r="F2037" s="2762">
        <v>155143</v>
      </c>
      <c r="G2037" s="3168">
        <v>57497</v>
      </c>
      <c r="H2037" s="2756">
        <f t="shared" si="138"/>
        <v>0.37060647273805458</v>
      </c>
      <c r="J2037" s="1370"/>
    </row>
    <row r="2038" spans="1:10" s="1622" customFormat="1" ht="16.5" customHeight="1">
      <c r="A2038" s="1631"/>
      <c r="B2038" s="1637"/>
      <c r="C2038" s="2471" t="s">
        <v>828</v>
      </c>
      <c r="D2038" s="2458" t="s">
        <v>695</v>
      </c>
      <c r="E2038" s="3274">
        <v>66326</v>
      </c>
      <c r="F2038" s="2762">
        <v>58660</v>
      </c>
      <c r="G2038" s="3168">
        <v>44722</v>
      </c>
      <c r="H2038" s="2756">
        <f t="shared" si="138"/>
        <v>0.76239345380156831</v>
      </c>
      <c r="J2038" s="1370"/>
    </row>
    <row r="2039" spans="1:10" ht="16.5" hidden="1" customHeight="1">
      <c r="A2039" s="1556"/>
      <c r="B2039" s="3277"/>
      <c r="C2039" s="3334" t="s">
        <v>768</v>
      </c>
      <c r="D2039" s="3069" t="s">
        <v>695</v>
      </c>
      <c r="E2039" s="3280">
        <v>0</v>
      </c>
      <c r="F2039" s="2805"/>
      <c r="G2039" s="3070"/>
      <c r="H2039" s="2807" t="e">
        <f t="shared" si="138"/>
        <v>#DIV/0!</v>
      </c>
    </row>
    <row r="2040" spans="1:10" s="1622" customFormat="1" ht="16.5" customHeight="1">
      <c r="A2040" s="1631"/>
      <c r="B2040" s="1637"/>
      <c r="C2040" s="3205" t="s">
        <v>769</v>
      </c>
      <c r="D2040" s="3206" t="s">
        <v>695</v>
      </c>
      <c r="E2040" s="3274">
        <v>3541</v>
      </c>
      <c r="F2040" s="2762">
        <v>3514</v>
      </c>
      <c r="G2040" s="3168">
        <v>3582</v>
      </c>
      <c r="H2040" s="2756">
        <f t="shared" si="138"/>
        <v>1.0193511667615254</v>
      </c>
      <c r="J2040" s="1370"/>
    </row>
    <row r="2041" spans="1:10" s="1622" customFormat="1" ht="16.5" customHeight="1">
      <c r="A2041" s="1631"/>
      <c r="B2041" s="1637"/>
      <c r="C2041" s="3205" t="s">
        <v>829</v>
      </c>
      <c r="D2041" s="3206" t="s">
        <v>697</v>
      </c>
      <c r="E2041" s="3274">
        <v>97860</v>
      </c>
      <c r="F2041" s="2762">
        <v>108417</v>
      </c>
      <c r="G2041" s="3168">
        <v>60961</v>
      </c>
      <c r="H2041" s="2756">
        <f t="shared" si="138"/>
        <v>0.5622826678472933</v>
      </c>
      <c r="J2041" s="1370"/>
    </row>
    <row r="2042" spans="1:10" s="1622" customFormat="1" ht="16.5" customHeight="1">
      <c r="A2042" s="1631"/>
      <c r="B2042" s="1637"/>
      <c r="C2042" s="3205" t="s">
        <v>770</v>
      </c>
      <c r="D2042" s="3206" t="s">
        <v>697</v>
      </c>
      <c r="E2042" s="3274">
        <v>0</v>
      </c>
      <c r="F2042" s="2762">
        <v>5040</v>
      </c>
      <c r="G2042" s="3168">
        <v>0</v>
      </c>
      <c r="H2042" s="2756">
        <f t="shared" si="138"/>
        <v>0</v>
      </c>
      <c r="J2042" s="1370"/>
    </row>
    <row r="2043" spans="1:10" s="1622" customFormat="1" ht="16.5" customHeight="1">
      <c r="A2043" s="1631"/>
      <c r="B2043" s="1637"/>
      <c r="C2043" s="3205" t="s">
        <v>771</v>
      </c>
      <c r="D2043" s="3206" t="s">
        <v>697</v>
      </c>
      <c r="E2043" s="3274">
        <v>22957</v>
      </c>
      <c r="F2043" s="2762">
        <v>26165</v>
      </c>
      <c r="G2043" s="3168">
        <v>10548</v>
      </c>
      <c r="H2043" s="2756">
        <f t="shared" si="138"/>
        <v>0.40313395757691572</v>
      </c>
      <c r="J2043" s="1370"/>
    </row>
    <row r="2044" spans="1:10" s="1622" customFormat="1" ht="16.5" customHeight="1">
      <c r="A2044" s="1631"/>
      <c r="B2044" s="1637"/>
      <c r="C2044" s="3205" t="s">
        <v>830</v>
      </c>
      <c r="D2044" s="3206" t="s">
        <v>699</v>
      </c>
      <c r="E2044" s="3274">
        <v>14000</v>
      </c>
      <c r="F2044" s="2762">
        <v>15521</v>
      </c>
      <c r="G2044" s="3168">
        <v>8649</v>
      </c>
      <c r="H2044" s="2756">
        <f t="shared" si="138"/>
        <v>0.55724502287223765</v>
      </c>
      <c r="J2044" s="1370"/>
    </row>
    <row r="2045" spans="1:10" ht="16.5" customHeight="1">
      <c r="A2045" s="1556"/>
      <c r="B2045" s="3277"/>
      <c r="C2045" s="3260" t="s">
        <v>772</v>
      </c>
      <c r="D2045" s="3060" t="s">
        <v>699</v>
      </c>
      <c r="E2045" s="3276">
        <v>0</v>
      </c>
      <c r="F2045" s="2790">
        <v>727</v>
      </c>
      <c r="G2045" s="3056">
        <v>0</v>
      </c>
      <c r="H2045" s="2792">
        <f t="shared" si="138"/>
        <v>0</v>
      </c>
    </row>
    <row r="2046" spans="1:10" s="1622" customFormat="1" ht="16.5" customHeight="1">
      <c r="A2046" s="1653"/>
      <c r="B2046" s="1637"/>
      <c r="C2046" s="3278" t="s">
        <v>773</v>
      </c>
      <c r="D2046" s="3221" t="s">
        <v>699</v>
      </c>
      <c r="E2046" s="3269">
        <v>3423</v>
      </c>
      <c r="F2046" s="2762">
        <v>3885</v>
      </c>
      <c r="G2046" s="3168">
        <v>1497</v>
      </c>
      <c r="H2046" s="2756">
        <f t="shared" si="138"/>
        <v>0.3853281853281853</v>
      </c>
      <c r="J2046" s="1370"/>
    </row>
    <row r="2047" spans="1:10" s="1622" customFormat="1" ht="16.5" customHeight="1">
      <c r="A2047" s="1631"/>
      <c r="B2047" s="1637"/>
      <c r="C2047" s="2471" t="s">
        <v>970</v>
      </c>
      <c r="D2047" s="2458" t="s">
        <v>701</v>
      </c>
      <c r="E2047" s="2423">
        <v>253994</v>
      </c>
      <c r="F2047" s="1859">
        <v>250105</v>
      </c>
      <c r="G2047" s="2558">
        <v>153390</v>
      </c>
      <c r="H2047" s="1659">
        <f t="shared" si="138"/>
        <v>0.61330241298654564</v>
      </c>
      <c r="J2047" s="1370"/>
    </row>
    <row r="2048" spans="1:10" s="1622" customFormat="1" ht="16.5" customHeight="1">
      <c r="A2048" s="1653"/>
      <c r="B2048" s="1637"/>
      <c r="C2048" s="3166" t="s">
        <v>775</v>
      </c>
      <c r="D2048" s="3221" t="s">
        <v>701</v>
      </c>
      <c r="E2048" s="3269">
        <v>42349</v>
      </c>
      <c r="F2048" s="2762">
        <v>41622</v>
      </c>
      <c r="G2048" s="3145">
        <v>28610</v>
      </c>
      <c r="H2048" s="2756">
        <f t="shared" si="138"/>
        <v>0.68737686800249864</v>
      </c>
      <c r="J2048" s="1370"/>
    </row>
    <row r="2049" spans="1:10" s="1622" customFormat="1" ht="16.5" customHeight="1">
      <c r="A2049" s="1631"/>
      <c r="B2049" s="1637"/>
      <c r="C2049" s="2471" t="s">
        <v>832</v>
      </c>
      <c r="D2049" s="2458" t="s">
        <v>708</v>
      </c>
      <c r="E2049" s="2423">
        <v>20971</v>
      </c>
      <c r="F2049" s="2762">
        <v>13990</v>
      </c>
      <c r="G2049" s="3145">
        <v>0</v>
      </c>
      <c r="H2049" s="2756">
        <f t="shared" si="138"/>
        <v>0</v>
      </c>
      <c r="J2049" s="1370"/>
    </row>
    <row r="2050" spans="1:10" s="1622" customFormat="1" ht="16.5" hidden="1" customHeight="1">
      <c r="A2050" s="1631"/>
      <c r="B2050" s="1637"/>
      <c r="C2050" s="3205" t="s">
        <v>779</v>
      </c>
      <c r="D2050" s="3206" t="s">
        <v>708</v>
      </c>
      <c r="E2050" s="3274">
        <v>0</v>
      </c>
      <c r="F2050" s="2762"/>
      <c r="G2050" s="3168"/>
      <c r="H2050" s="2756" t="e">
        <f t="shared" si="138"/>
        <v>#DIV/0!</v>
      </c>
      <c r="J2050" s="1370"/>
    </row>
    <row r="2051" spans="1:10" s="1622" customFormat="1" ht="16.5" customHeight="1">
      <c r="A2051" s="1631"/>
      <c r="B2051" s="1637"/>
      <c r="C2051" s="3205" t="s">
        <v>780</v>
      </c>
      <c r="D2051" s="3206" t="s">
        <v>708</v>
      </c>
      <c r="E2051" s="3274">
        <v>2830</v>
      </c>
      <c r="F2051" s="2762">
        <v>1528</v>
      </c>
      <c r="G2051" s="3168">
        <v>0</v>
      </c>
      <c r="H2051" s="2756">
        <f t="shared" si="138"/>
        <v>0</v>
      </c>
      <c r="J2051" s="1370"/>
    </row>
    <row r="2052" spans="1:10" ht="16.5" hidden="1" customHeight="1">
      <c r="A2052" s="1556"/>
      <c r="B2052" s="3277"/>
      <c r="C2052" s="3279" t="s">
        <v>1135</v>
      </c>
      <c r="D2052" s="3069" t="s">
        <v>710</v>
      </c>
      <c r="E2052" s="3280">
        <v>0</v>
      </c>
      <c r="F2052" s="2805"/>
      <c r="G2052" s="3070"/>
      <c r="H2052" s="2807" t="e">
        <f t="shared" si="138"/>
        <v>#DIV/0!</v>
      </c>
    </row>
    <row r="2053" spans="1:10" ht="16.5" hidden="1" customHeight="1">
      <c r="A2053" s="1556"/>
      <c r="B2053" s="3277"/>
      <c r="C2053" s="3279" t="s">
        <v>1045</v>
      </c>
      <c r="D2053" s="3069" t="s">
        <v>710</v>
      </c>
      <c r="E2053" s="3280">
        <v>0</v>
      </c>
      <c r="F2053" s="2805"/>
      <c r="G2053" s="3070"/>
      <c r="H2053" s="2807" t="e">
        <f t="shared" si="138"/>
        <v>#DIV/0!</v>
      </c>
    </row>
    <row r="2054" spans="1:10" ht="16.5" hidden="1" customHeight="1">
      <c r="A2054" s="1556"/>
      <c r="B2054" s="3277"/>
      <c r="C2054" s="3279" t="s">
        <v>1046</v>
      </c>
      <c r="D2054" s="3069" t="s">
        <v>712</v>
      </c>
      <c r="E2054" s="3280">
        <v>0</v>
      </c>
      <c r="F2054" s="2805"/>
      <c r="G2054" s="3070"/>
      <c r="H2054" s="2807" t="e">
        <f t="shared" si="138"/>
        <v>#DIV/0!</v>
      </c>
    </row>
    <row r="2055" spans="1:10" ht="16.5" hidden="1" customHeight="1">
      <c r="A2055" s="1556"/>
      <c r="B2055" s="3277"/>
      <c r="C2055" s="3279" t="s">
        <v>1001</v>
      </c>
      <c r="D2055" s="3069" t="s">
        <v>712</v>
      </c>
      <c r="E2055" s="3280">
        <v>0</v>
      </c>
      <c r="F2055" s="2805"/>
      <c r="G2055" s="3070"/>
      <c r="H2055" s="2807" t="e">
        <f t="shared" si="138"/>
        <v>#DIV/0!</v>
      </c>
    </row>
    <row r="2056" spans="1:10" ht="16.5" hidden="1" customHeight="1">
      <c r="A2056" s="1556"/>
      <c r="B2056" s="3277"/>
      <c r="C2056" s="3279" t="s">
        <v>1209</v>
      </c>
      <c r="D2056" s="3069" t="s">
        <v>714</v>
      </c>
      <c r="E2056" s="3280">
        <v>0</v>
      </c>
      <c r="F2056" s="2805"/>
      <c r="G2056" s="3070"/>
      <c r="H2056" s="2807" t="e">
        <f t="shared" si="138"/>
        <v>#DIV/0!</v>
      </c>
    </row>
    <row r="2057" spans="1:10" ht="16.5" hidden="1" customHeight="1">
      <c r="A2057" s="1556"/>
      <c r="B2057" s="3277"/>
      <c r="C2057" s="3279" t="s">
        <v>782</v>
      </c>
      <c r="D2057" s="3069" t="s">
        <v>714</v>
      </c>
      <c r="E2057" s="3280">
        <v>0</v>
      </c>
      <c r="F2057" s="2805"/>
      <c r="G2057" s="3070"/>
      <c r="H2057" s="2807" t="e">
        <f t="shared" si="138"/>
        <v>#DIV/0!</v>
      </c>
    </row>
    <row r="2058" spans="1:10" ht="16.5" hidden="1" customHeight="1">
      <c r="A2058" s="1556"/>
      <c r="B2058" s="3277"/>
      <c r="C2058" s="3279" t="s">
        <v>1210</v>
      </c>
      <c r="D2058" s="3069" t="s">
        <v>716</v>
      </c>
      <c r="E2058" s="3280">
        <v>0</v>
      </c>
      <c r="F2058" s="2805"/>
      <c r="G2058" s="3070"/>
      <c r="H2058" s="2807" t="e">
        <f t="shared" si="138"/>
        <v>#DIV/0!</v>
      </c>
    </row>
    <row r="2059" spans="1:10" ht="16.5" hidden="1" customHeight="1">
      <c r="A2059" s="1556"/>
      <c r="B2059" s="3277"/>
      <c r="C2059" s="3279" t="s">
        <v>1003</v>
      </c>
      <c r="D2059" s="3069" t="s">
        <v>716</v>
      </c>
      <c r="E2059" s="3280">
        <v>0</v>
      </c>
      <c r="F2059" s="2805"/>
      <c r="G2059" s="3070"/>
      <c r="H2059" s="2807" t="e">
        <f t="shared" si="138"/>
        <v>#DIV/0!</v>
      </c>
    </row>
    <row r="2060" spans="1:10" s="1622" customFormat="1" ht="17.25" customHeight="1">
      <c r="A2060" s="1631"/>
      <c r="B2060" s="1637"/>
      <c r="C2060" s="3205" t="s">
        <v>833</v>
      </c>
      <c r="D2060" s="3206" t="s">
        <v>718</v>
      </c>
      <c r="E2060" s="3274">
        <v>739483</v>
      </c>
      <c r="F2060" s="2762">
        <v>813943</v>
      </c>
      <c r="G2060" s="3168">
        <v>336001</v>
      </c>
      <c r="H2060" s="2756">
        <f t="shared" si="138"/>
        <v>0.41280654787865984</v>
      </c>
      <c r="J2060" s="1370"/>
    </row>
    <row r="2061" spans="1:10" ht="16.5" hidden="1" customHeight="1">
      <c r="A2061" s="1556"/>
      <c r="B2061" s="3277"/>
      <c r="C2061" s="3279" t="s">
        <v>783</v>
      </c>
      <c r="D2061" s="3069" t="s">
        <v>718</v>
      </c>
      <c r="E2061" s="3280">
        <v>0</v>
      </c>
      <c r="F2061" s="2805"/>
      <c r="G2061" s="3070"/>
      <c r="H2061" s="2807" t="e">
        <f t="shared" si="138"/>
        <v>#DIV/0!</v>
      </c>
    </row>
    <row r="2062" spans="1:10" s="1622" customFormat="1" ht="16.5" customHeight="1">
      <c r="A2062" s="1631"/>
      <c r="B2062" s="1637"/>
      <c r="C2062" s="3205" t="s">
        <v>784</v>
      </c>
      <c r="D2062" s="3206" t="s">
        <v>718</v>
      </c>
      <c r="E2062" s="3274">
        <v>99484</v>
      </c>
      <c r="F2062" s="2762">
        <v>100905</v>
      </c>
      <c r="G2062" s="3168">
        <v>62671</v>
      </c>
      <c r="H2062" s="2756">
        <f t="shared" si="138"/>
        <v>0.62108914325355535</v>
      </c>
      <c r="J2062" s="1370"/>
    </row>
    <row r="2063" spans="1:10" s="1622" customFormat="1" ht="16.5" customHeight="1">
      <c r="A2063" s="1631"/>
      <c r="B2063" s="1637"/>
      <c r="C2063" s="3199" t="s">
        <v>1050</v>
      </c>
      <c r="D2063" s="3200" t="s">
        <v>720</v>
      </c>
      <c r="E2063" s="3274">
        <v>280</v>
      </c>
      <c r="F2063" s="2762">
        <v>280</v>
      </c>
      <c r="G2063" s="3168">
        <v>0</v>
      </c>
      <c r="H2063" s="2756">
        <f t="shared" si="138"/>
        <v>0</v>
      </c>
      <c r="J2063" s="1370"/>
    </row>
    <row r="2064" spans="1:10" ht="16.5" hidden="1" customHeight="1">
      <c r="A2064" s="1556"/>
      <c r="B2064" s="3277"/>
      <c r="C2064" s="3210" t="s">
        <v>1052</v>
      </c>
      <c r="D2064" s="3211" t="s">
        <v>720</v>
      </c>
      <c r="E2064" s="3280">
        <v>0</v>
      </c>
      <c r="F2064" s="2805"/>
      <c r="G2064" s="3070"/>
      <c r="H2064" s="2807" t="e">
        <f t="shared" si="138"/>
        <v>#DIV/0!</v>
      </c>
    </row>
    <row r="2065" spans="1:10" ht="16.5" hidden="1" customHeight="1">
      <c r="A2065" s="1556"/>
      <c r="B2065" s="3277"/>
      <c r="C2065" s="3210" t="s">
        <v>902</v>
      </c>
      <c r="D2065" s="3211" t="s">
        <v>901</v>
      </c>
      <c r="E2065" s="3280">
        <v>0</v>
      </c>
      <c r="F2065" s="2805"/>
      <c r="G2065" s="3070"/>
      <c r="H2065" s="2807" t="e">
        <f t="shared" si="138"/>
        <v>#DIV/0!</v>
      </c>
    </row>
    <row r="2066" spans="1:10" ht="16.5" hidden="1" customHeight="1">
      <c r="A2066" s="1556"/>
      <c r="B2066" s="3277"/>
      <c r="C2066" s="3210" t="s">
        <v>903</v>
      </c>
      <c r="D2066" s="3281" t="s">
        <v>901</v>
      </c>
      <c r="E2066" s="3280">
        <v>0</v>
      </c>
      <c r="F2066" s="2805"/>
      <c r="G2066" s="3070"/>
      <c r="H2066" s="2807" t="e">
        <f t="shared" si="138"/>
        <v>#DIV/0!</v>
      </c>
    </row>
    <row r="2067" spans="1:10" ht="16.5" hidden="1" customHeight="1">
      <c r="A2067" s="1556"/>
      <c r="B2067" s="3277"/>
      <c r="C2067" s="3210" t="s">
        <v>834</v>
      </c>
      <c r="D2067" s="3335" t="s">
        <v>722</v>
      </c>
      <c r="E2067" s="3280">
        <v>0</v>
      </c>
      <c r="F2067" s="2805"/>
      <c r="G2067" s="3070"/>
      <c r="H2067" s="2807" t="e">
        <f t="shared" si="138"/>
        <v>#DIV/0!</v>
      </c>
    </row>
    <row r="2068" spans="1:10" ht="16.5" hidden="1" customHeight="1">
      <c r="A2068" s="1556"/>
      <c r="B2068" s="3277"/>
      <c r="C2068" s="3210" t="s">
        <v>786</v>
      </c>
      <c r="D2068" s="3335" t="s">
        <v>722</v>
      </c>
      <c r="E2068" s="3280">
        <v>0</v>
      </c>
      <c r="F2068" s="2805"/>
      <c r="G2068" s="3070"/>
      <c r="H2068" s="2807" t="e">
        <f t="shared" si="138"/>
        <v>#DIV/0!</v>
      </c>
    </row>
    <row r="2069" spans="1:10" ht="16.5" hidden="1" customHeight="1">
      <c r="A2069" s="1556"/>
      <c r="B2069" s="3277"/>
      <c r="C2069" s="3210" t="s">
        <v>1211</v>
      </c>
      <c r="D2069" s="3018" t="s">
        <v>724</v>
      </c>
      <c r="E2069" s="3280">
        <v>0</v>
      </c>
      <c r="F2069" s="2805"/>
      <c r="G2069" s="3070"/>
      <c r="H2069" s="2807" t="e">
        <f t="shared" si="138"/>
        <v>#DIV/0!</v>
      </c>
    </row>
    <row r="2070" spans="1:10" ht="16.5" hidden="1" customHeight="1">
      <c r="A2070" s="1556"/>
      <c r="B2070" s="3277"/>
      <c r="C2070" s="3210" t="s">
        <v>1008</v>
      </c>
      <c r="D2070" s="3018" t="s">
        <v>724</v>
      </c>
      <c r="E2070" s="3280">
        <v>0</v>
      </c>
      <c r="F2070" s="2805"/>
      <c r="G2070" s="3070"/>
      <c r="H2070" s="2807" t="e">
        <f t="shared" si="138"/>
        <v>#DIV/0!</v>
      </c>
    </row>
    <row r="2071" spans="1:10" s="1622" customFormat="1" ht="16.5" customHeight="1">
      <c r="A2071" s="1631"/>
      <c r="B2071" s="1637"/>
      <c r="C2071" s="3199" t="s">
        <v>835</v>
      </c>
      <c r="D2071" s="3336" t="s">
        <v>726</v>
      </c>
      <c r="E2071" s="3274">
        <v>1508</v>
      </c>
      <c r="F2071" s="2762">
        <v>2906</v>
      </c>
      <c r="G2071" s="3168">
        <v>6742</v>
      </c>
      <c r="H2071" s="2756">
        <f t="shared" si="138"/>
        <v>2.320027529249828</v>
      </c>
      <c r="J2071" s="1370"/>
    </row>
    <row r="2072" spans="1:10" ht="16.5" hidden="1" customHeight="1">
      <c r="A2072" s="1556"/>
      <c r="B2072" s="3277"/>
      <c r="C2072" s="3279" t="s">
        <v>787</v>
      </c>
      <c r="D2072" s="3026" t="s">
        <v>726</v>
      </c>
      <c r="E2072" s="3280">
        <v>0</v>
      </c>
      <c r="F2072" s="2805"/>
      <c r="G2072" s="3070"/>
      <c r="H2072" s="2807" t="e">
        <f t="shared" si="138"/>
        <v>#DIV/0!</v>
      </c>
    </row>
    <row r="2073" spans="1:10" s="1622" customFormat="1" ht="16.5" customHeight="1">
      <c r="A2073" s="1631"/>
      <c r="B2073" s="1637"/>
      <c r="C2073" s="3205" t="s">
        <v>788</v>
      </c>
      <c r="D2073" s="2458" t="s">
        <v>726</v>
      </c>
      <c r="E2073" s="3274">
        <v>0</v>
      </c>
      <c r="F2073" s="2762">
        <v>262</v>
      </c>
      <c r="G2073" s="3168">
        <v>1258</v>
      </c>
      <c r="H2073" s="2756">
        <f t="shared" si="138"/>
        <v>4.8015267175572518</v>
      </c>
      <c r="J2073" s="1370"/>
    </row>
    <row r="2074" spans="1:10" s="1622" customFormat="1" ht="16.5" customHeight="1">
      <c r="A2074" s="1631"/>
      <c r="B2074" s="1637"/>
      <c r="C2074" s="3205" t="s">
        <v>904</v>
      </c>
      <c r="D2074" s="2458" t="s">
        <v>866</v>
      </c>
      <c r="E2074" s="3274">
        <v>0</v>
      </c>
      <c r="F2074" s="2762">
        <v>7698</v>
      </c>
      <c r="G2074" s="3168">
        <v>0</v>
      </c>
      <c r="H2074" s="2756">
        <f t="shared" si="138"/>
        <v>0</v>
      </c>
      <c r="J2074" s="1370"/>
    </row>
    <row r="2075" spans="1:10" s="1622" customFormat="1" ht="16.5" customHeight="1">
      <c r="A2075" s="1631"/>
      <c r="B2075" s="1637"/>
      <c r="C2075" s="3205" t="s">
        <v>905</v>
      </c>
      <c r="D2075" s="2458" t="s">
        <v>866</v>
      </c>
      <c r="E2075" s="3274">
        <v>0</v>
      </c>
      <c r="F2075" s="2762">
        <v>1359</v>
      </c>
      <c r="G2075" s="3168">
        <v>0</v>
      </c>
      <c r="H2075" s="2756">
        <f t="shared" si="138"/>
        <v>0</v>
      </c>
      <c r="J2075" s="1370"/>
    </row>
    <row r="2076" spans="1:10" s="1622" customFormat="1" ht="16.5" customHeight="1">
      <c r="A2076" s="1631"/>
      <c r="B2076" s="1637"/>
      <c r="C2076" s="3137" t="s">
        <v>1212</v>
      </c>
      <c r="D2076" s="3284" t="s">
        <v>730</v>
      </c>
      <c r="E2076" s="3274">
        <v>5335</v>
      </c>
      <c r="F2076" s="2762">
        <v>5329</v>
      </c>
      <c r="G2076" s="3168">
        <v>6456</v>
      </c>
      <c r="H2076" s="2756">
        <f t="shared" si="138"/>
        <v>1.2114843310189529</v>
      </c>
      <c r="J2076" s="1370"/>
    </row>
    <row r="2077" spans="1:10" s="1622" customFormat="1" ht="16.5" customHeight="1">
      <c r="A2077" s="1631"/>
      <c r="B2077" s="1637"/>
      <c r="C2077" s="3285" t="s">
        <v>1213</v>
      </c>
      <c r="D2077" s="1889" t="s">
        <v>730</v>
      </c>
      <c r="E2077" s="3274">
        <v>995</v>
      </c>
      <c r="F2077" s="2762">
        <v>994</v>
      </c>
      <c r="G2077" s="3168">
        <v>1204</v>
      </c>
      <c r="H2077" s="2756">
        <f t="shared" si="138"/>
        <v>1.2112676056338028</v>
      </c>
      <c r="J2077" s="1370"/>
    </row>
    <row r="2078" spans="1:10" ht="16.5" hidden="1" customHeight="1">
      <c r="A2078" s="1556"/>
      <c r="B2078" s="3277"/>
      <c r="C2078" s="3286" t="s">
        <v>1214</v>
      </c>
      <c r="D2078" s="1908" t="s">
        <v>732</v>
      </c>
      <c r="E2078" s="3280">
        <v>0</v>
      </c>
      <c r="F2078" s="2805"/>
      <c r="G2078" s="3070"/>
      <c r="H2078" s="2807" t="e">
        <f t="shared" si="138"/>
        <v>#DIV/0!</v>
      </c>
    </row>
    <row r="2079" spans="1:10" ht="16.5" hidden="1" customHeight="1">
      <c r="A2079" s="1556"/>
      <c r="B2079" s="3277"/>
      <c r="C2079" s="3286" t="s">
        <v>1215</v>
      </c>
      <c r="D2079" s="1908" t="s">
        <v>732</v>
      </c>
      <c r="E2079" s="3280">
        <v>0</v>
      </c>
      <c r="F2079" s="2805"/>
      <c r="G2079" s="3070"/>
      <c r="H2079" s="2807" t="e">
        <f t="shared" si="138"/>
        <v>#DIV/0!</v>
      </c>
    </row>
    <row r="2080" spans="1:10" ht="16.5" hidden="1" customHeight="1">
      <c r="A2080" s="1556"/>
      <c r="B2080" s="3277"/>
      <c r="C2080" s="3286" t="s">
        <v>1216</v>
      </c>
      <c r="D2080" s="1908" t="s">
        <v>736</v>
      </c>
      <c r="E2080" s="3280">
        <v>0</v>
      </c>
      <c r="F2080" s="2805"/>
      <c r="G2080" s="3070"/>
      <c r="H2080" s="2807" t="e">
        <f t="shared" si="138"/>
        <v>#DIV/0!</v>
      </c>
    </row>
    <row r="2081" spans="1:10" ht="16.5" hidden="1" customHeight="1">
      <c r="A2081" s="1556"/>
      <c r="B2081" s="3277"/>
      <c r="C2081" s="3286" t="s">
        <v>1010</v>
      </c>
      <c r="D2081" s="1908" t="s">
        <v>736</v>
      </c>
      <c r="E2081" s="3280">
        <v>0</v>
      </c>
      <c r="F2081" s="2805"/>
      <c r="G2081" s="3070"/>
      <c r="H2081" s="2807" t="e">
        <f t="shared" si="138"/>
        <v>#DIV/0!</v>
      </c>
    </row>
    <row r="2082" spans="1:10" ht="16.5" hidden="1" customHeight="1">
      <c r="A2082" s="1556"/>
      <c r="B2082" s="3277"/>
      <c r="C2082" s="3337" t="s">
        <v>791</v>
      </c>
      <c r="D2082" s="3288" t="s">
        <v>792</v>
      </c>
      <c r="E2082" s="3280">
        <v>0</v>
      </c>
      <c r="F2082" s="2805"/>
      <c r="G2082" s="3070"/>
      <c r="H2082" s="2807" t="e">
        <f t="shared" si="138"/>
        <v>#DIV/0!</v>
      </c>
    </row>
    <row r="2083" spans="1:10" ht="16.5" hidden="1" customHeight="1">
      <c r="A2083" s="1556"/>
      <c r="B2083" s="3277"/>
      <c r="C2083" s="3337" t="s">
        <v>836</v>
      </c>
      <c r="D2083" s="3288" t="s">
        <v>740</v>
      </c>
      <c r="E2083" s="3280">
        <v>0</v>
      </c>
      <c r="F2083" s="2805"/>
      <c r="G2083" s="3070"/>
      <c r="H2083" s="2807" t="e">
        <f t="shared" si="138"/>
        <v>#DIV/0!</v>
      </c>
    </row>
    <row r="2084" spans="1:10" ht="16.5" hidden="1" customHeight="1">
      <c r="A2084" s="1556"/>
      <c r="B2084" s="3277"/>
      <c r="C2084" s="3337" t="s">
        <v>794</v>
      </c>
      <c r="D2084" s="3288" t="s">
        <v>740</v>
      </c>
      <c r="E2084" s="3280">
        <v>0</v>
      </c>
      <c r="F2084" s="2805"/>
      <c r="G2084" s="3070"/>
      <c r="H2084" s="2807" t="e">
        <f t="shared" si="138"/>
        <v>#DIV/0!</v>
      </c>
    </row>
    <row r="2085" spans="1:10" s="1622" customFormat="1" ht="16.5" customHeight="1">
      <c r="A2085" s="1631"/>
      <c r="B2085" s="1637"/>
      <c r="C2085" s="3338" t="s">
        <v>837</v>
      </c>
      <c r="D2085" s="3246" t="s">
        <v>703</v>
      </c>
      <c r="E2085" s="3274">
        <v>8270</v>
      </c>
      <c r="F2085" s="2762">
        <v>8258</v>
      </c>
      <c r="G2085" s="3168">
        <v>3984</v>
      </c>
      <c r="H2085" s="2756">
        <f t="shared" si="138"/>
        <v>0.48244126907241464</v>
      </c>
      <c r="J2085" s="1370"/>
    </row>
    <row r="2086" spans="1:10" s="1622" customFormat="1" ht="16.5" customHeight="1">
      <c r="A2086" s="1631"/>
      <c r="B2086" s="1637"/>
      <c r="C2086" s="3338" t="s">
        <v>796</v>
      </c>
      <c r="D2086" s="3339" t="s">
        <v>703</v>
      </c>
      <c r="E2086" s="3340">
        <v>1561</v>
      </c>
      <c r="F2086" s="2762">
        <v>1610</v>
      </c>
      <c r="G2086" s="3168">
        <v>624</v>
      </c>
      <c r="H2086" s="2756">
        <f t="shared" si="138"/>
        <v>0.38757763975155279</v>
      </c>
      <c r="J2086" s="1370"/>
    </row>
    <row r="2087" spans="1:10" ht="16.5" customHeight="1" thickBot="1">
      <c r="A2087" s="2001"/>
      <c r="B2087" s="3341"/>
      <c r="C2087" s="3093"/>
      <c r="D2087" s="3091"/>
      <c r="E2087" s="3342"/>
      <c r="F2087" s="2408"/>
      <c r="G2087" s="3094"/>
      <c r="H2087" s="2410"/>
    </row>
    <row r="2088" spans="1:10" s="1622" customFormat="1" ht="16.5" customHeight="1">
      <c r="A2088" s="1623"/>
      <c r="B2088" s="1632"/>
      <c r="C2088" s="4548" t="s">
        <v>744</v>
      </c>
      <c r="D2088" s="4548"/>
      <c r="E2088" s="2010">
        <f>SUM(E2089)</f>
        <v>371544</v>
      </c>
      <c r="F2088" s="1681">
        <f>SUM(F2089)</f>
        <v>229819</v>
      </c>
      <c r="G2088" s="2813">
        <f>SUM(G2089)</f>
        <v>0</v>
      </c>
      <c r="H2088" s="1683">
        <f t="shared" ref="H2088:H2122" si="139">G2088/F2088</f>
        <v>0</v>
      </c>
      <c r="J2088" s="1370"/>
    </row>
    <row r="2089" spans="1:10" s="1622" customFormat="1" ht="16.5" customHeight="1">
      <c r="A2089" s="1631"/>
      <c r="B2089" s="1637"/>
      <c r="C2089" s="4549" t="s">
        <v>869</v>
      </c>
      <c r="D2089" s="4549"/>
      <c r="E2089" s="3269">
        <f>SUM(E2091:E2095)</f>
        <v>371544</v>
      </c>
      <c r="F2089" s="2762">
        <f>SUM(F2091:F2095)</f>
        <v>229819</v>
      </c>
      <c r="G2089" s="3270">
        <f>SUM(G2091:G2095)</f>
        <v>0</v>
      </c>
      <c r="H2089" s="2756">
        <f t="shared" si="139"/>
        <v>0</v>
      </c>
      <c r="J2089" s="1370"/>
    </row>
    <row r="2090" spans="1:10" s="1622" customFormat="1" ht="55.5" hidden="1" customHeight="1">
      <c r="A2090" s="1631"/>
      <c r="B2090" s="1637"/>
      <c r="C2090" s="3343" t="s">
        <v>839</v>
      </c>
      <c r="D2090" s="3339" t="s">
        <v>840</v>
      </c>
      <c r="E2090" s="3340">
        <v>0</v>
      </c>
      <c r="F2090" s="2762"/>
      <c r="G2090" s="3168"/>
      <c r="H2090" s="2756" t="e">
        <f t="shared" si="139"/>
        <v>#DIV/0!</v>
      </c>
      <c r="J2090" s="1370"/>
    </row>
    <row r="2091" spans="1:10" s="1622" customFormat="1" ht="55.5" customHeight="1">
      <c r="A2091" s="1631"/>
      <c r="B2091" s="1637"/>
      <c r="C2091" s="3344" t="s">
        <v>841</v>
      </c>
      <c r="D2091" s="3336" t="s">
        <v>857</v>
      </c>
      <c r="E2091" s="3340">
        <v>259097</v>
      </c>
      <c r="F2091" s="2762">
        <v>146641</v>
      </c>
      <c r="G2091" s="3168">
        <v>0</v>
      </c>
      <c r="H2091" s="2756">
        <f t="shared" si="139"/>
        <v>0</v>
      </c>
      <c r="J2091" s="1370" t="s">
        <v>823</v>
      </c>
    </row>
    <row r="2092" spans="1:10" s="1622" customFormat="1" ht="55.5" hidden="1" customHeight="1">
      <c r="A2092" s="1631"/>
      <c r="B2092" s="1637"/>
      <c r="C2092" s="3343" t="s">
        <v>385</v>
      </c>
      <c r="D2092" s="2447" t="s">
        <v>925</v>
      </c>
      <c r="E2092" s="3269">
        <v>0</v>
      </c>
      <c r="F2092" s="2762"/>
      <c r="G2092" s="3145"/>
      <c r="H2092" s="2756" t="e">
        <f t="shared" si="139"/>
        <v>#DIV/0!</v>
      </c>
      <c r="J2092" s="1370"/>
    </row>
    <row r="2093" spans="1:10" s="1622" customFormat="1" ht="63" customHeight="1">
      <c r="A2093" s="1631"/>
      <c r="B2093" s="1637"/>
      <c r="C2093" s="3278" t="s">
        <v>449</v>
      </c>
      <c r="D2093" s="3345" t="s">
        <v>842</v>
      </c>
      <c r="E2093" s="3269">
        <v>112447</v>
      </c>
      <c r="F2093" s="2762">
        <v>69392</v>
      </c>
      <c r="G2093" s="3145">
        <v>0</v>
      </c>
      <c r="H2093" s="2756">
        <f t="shared" si="139"/>
        <v>0</v>
      </c>
      <c r="J2093" s="1370" t="s">
        <v>823</v>
      </c>
    </row>
    <row r="2094" spans="1:10" s="1622" customFormat="1" ht="60.75" customHeight="1">
      <c r="A2094" s="1631"/>
      <c r="B2094" s="1637"/>
      <c r="C2094" s="2426" t="s">
        <v>566</v>
      </c>
      <c r="D2094" s="3346" t="s">
        <v>757</v>
      </c>
      <c r="E2094" s="3269">
        <v>0</v>
      </c>
      <c r="F2094" s="2762">
        <v>3056</v>
      </c>
      <c r="G2094" s="3145">
        <v>0</v>
      </c>
      <c r="H2094" s="2756">
        <f t="shared" si="139"/>
        <v>0</v>
      </c>
      <c r="J2094" s="1370"/>
    </row>
    <row r="2095" spans="1:10" s="1622" customFormat="1" ht="34.5" customHeight="1" thickBot="1">
      <c r="A2095" s="1673"/>
      <c r="B2095" s="3190"/>
      <c r="C2095" s="2510" t="s">
        <v>567</v>
      </c>
      <c r="D2095" s="3191" t="s">
        <v>978</v>
      </c>
      <c r="E2095" s="2780">
        <v>0</v>
      </c>
      <c r="F2095" s="1676">
        <v>10730</v>
      </c>
      <c r="G2095" s="2781">
        <v>0</v>
      </c>
      <c r="H2095" s="1678">
        <f t="shared" si="139"/>
        <v>0</v>
      </c>
      <c r="J2095" s="1370"/>
    </row>
    <row r="2096" spans="1:10" ht="24.75" hidden="1" customHeight="1" thickBot="1">
      <c r="A2096" s="1556"/>
      <c r="B2096" s="1750"/>
      <c r="C2096" s="4550" t="s">
        <v>758</v>
      </c>
      <c r="D2096" s="4551"/>
      <c r="E2096" s="3019">
        <v>0</v>
      </c>
      <c r="F2096" s="1909">
        <v>0</v>
      </c>
      <c r="G2096" s="2474">
        <v>0</v>
      </c>
      <c r="H2096" s="1942" t="e">
        <f t="shared" si="139"/>
        <v>#DIV/0!</v>
      </c>
    </row>
    <row r="2097" spans="1:10" ht="56.25" hidden="1" customHeight="1" thickBot="1">
      <c r="A2097" s="1556"/>
      <c r="B2097" s="1750"/>
      <c r="C2097" s="3347" t="s">
        <v>839</v>
      </c>
      <c r="D2097" s="3348" t="s">
        <v>840</v>
      </c>
      <c r="E2097" s="3298">
        <v>0</v>
      </c>
      <c r="F2097" s="2805"/>
      <c r="G2097" s="3224"/>
      <c r="H2097" s="2807" t="e">
        <f t="shared" si="139"/>
        <v>#DIV/0!</v>
      </c>
    </row>
    <row r="2098" spans="1:10" ht="57" hidden="1" customHeight="1" thickBot="1">
      <c r="A2098" s="1556"/>
      <c r="B2098" s="1750"/>
      <c r="C2098" s="3349" t="s">
        <v>841</v>
      </c>
      <c r="D2098" s="3350" t="s">
        <v>840</v>
      </c>
      <c r="E2098" s="3298">
        <v>0</v>
      </c>
      <c r="F2098" s="2805"/>
      <c r="G2098" s="3224"/>
      <c r="H2098" s="2807" t="e">
        <f t="shared" si="139"/>
        <v>#DIV/0!</v>
      </c>
    </row>
    <row r="2099" spans="1:10" ht="59.25" hidden="1" customHeight="1" thickBot="1">
      <c r="A2099" s="1556"/>
      <c r="B2099" s="1750"/>
      <c r="C2099" s="2541" t="s">
        <v>385</v>
      </c>
      <c r="D2099" s="3351" t="s">
        <v>925</v>
      </c>
      <c r="E2099" s="3298">
        <v>0</v>
      </c>
      <c r="F2099" s="2805"/>
      <c r="G2099" s="3224"/>
      <c r="H2099" s="2807" t="e">
        <f t="shared" si="139"/>
        <v>#DIV/0!</v>
      </c>
    </row>
    <row r="2100" spans="1:10" ht="63.75" hidden="1" customHeight="1" thickBot="1">
      <c r="A2100" s="1556"/>
      <c r="B2100" s="1750"/>
      <c r="C2100" s="3352" t="s">
        <v>449</v>
      </c>
      <c r="D2100" s="3353" t="s">
        <v>925</v>
      </c>
      <c r="E2100" s="3298">
        <v>0</v>
      </c>
      <c r="F2100" s="2805"/>
      <c r="G2100" s="3224"/>
      <c r="H2100" s="3354" t="e">
        <f t="shared" si="139"/>
        <v>#DIV/0!</v>
      </c>
    </row>
    <row r="2101" spans="1:10" s="1622" customFormat="1" ht="17.100000000000001" customHeight="1" thickBot="1">
      <c r="A2101" s="1614" t="s">
        <v>1230</v>
      </c>
      <c r="B2101" s="3355"/>
      <c r="C2101" s="3356"/>
      <c r="D2101" s="3357" t="s">
        <v>1231</v>
      </c>
      <c r="E2101" s="3358">
        <f>SUM(E2102,E2113,E2204)</f>
        <v>40566484</v>
      </c>
      <c r="F2101" s="3359">
        <f>SUM(F2102,F2113,F2204)</f>
        <v>51620327</v>
      </c>
      <c r="G2101" s="3360">
        <f>SUM(G2102,G2113,G2204)</f>
        <v>41058013</v>
      </c>
      <c r="H2101" s="1621">
        <f t="shared" si="139"/>
        <v>0.79538459723434141</v>
      </c>
      <c r="J2101" s="1370"/>
    </row>
    <row r="2102" spans="1:10" s="1622" customFormat="1" ht="17.100000000000001" customHeight="1" thickBot="1">
      <c r="A2102" s="1631"/>
      <c r="B2102" s="1624" t="s">
        <v>1232</v>
      </c>
      <c r="C2102" s="1972"/>
      <c r="D2102" s="2624" t="s">
        <v>615</v>
      </c>
      <c r="E2102" s="1627">
        <f t="shared" ref="E2102:G2103" si="140">SUM(E2103)</f>
        <v>2961118</v>
      </c>
      <c r="F2102" s="1628">
        <f t="shared" si="140"/>
        <v>3244960</v>
      </c>
      <c r="G2102" s="1629">
        <f t="shared" si="140"/>
        <v>3412553</v>
      </c>
      <c r="H2102" s="1630">
        <f t="shared" si="139"/>
        <v>1.0516471697648044</v>
      </c>
      <c r="J2102" s="1370"/>
    </row>
    <row r="2103" spans="1:10" s="1622" customFormat="1" ht="17.100000000000001" customHeight="1">
      <c r="A2103" s="1631"/>
      <c r="B2103" s="4520"/>
      <c r="C2103" s="4552" t="s">
        <v>688</v>
      </c>
      <c r="D2103" s="4553"/>
      <c r="E2103" s="3155">
        <f t="shared" si="140"/>
        <v>2961118</v>
      </c>
      <c r="F2103" s="2784">
        <f t="shared" si="140"/>
        <v>3244960</v>
      </c>
      <c r="G2103" s="3157">
        <f t="shared" si="140"/>
        <v>3412553</v>
      </c>
      <c r="H2103" s="1636">
        <f t="shared" si="139"/>
        <v>1.0516471697648044</v>
      </c>
      <c r="J2103" s="1370"/>
    </row>
    <row r="2104" spans="1:10" s="1622" customFormat="1" ht="17.100000000000001" customHeight="1">
      <c r="A2104" s="1631"/>
      <c r="B2104" s="4520"/>
      <c r="C2104" s="4554" t="s">
        <v>797</v>
      </c>
      <c r="D2104" s="4555"/>
      <c r="E2104" s="3269">
        <f>SUM(E2105:E2107)</f>
        <v>2961118</v>
      </c>
      <c r="F2104" s="2762">
        <f>SUM(F2105:F2107)</f>
        <v>3244960</v>
      </c>
      <c r="G2104" s="3361">
        <f>SUM(G2105:G2107)</f>
        <v>3412553</v>
      </c>
      <c r="H2104" s="2756">
        <f t="shared" si="139"/>
        <v>1.0516471697648044</v>
      </c>
      <c r="J2104" s="1370" t="s">
        <v>931</v>
      </c>
    </row>
    <row r="2105" spans="1:10" s="1622" customFormat="1" ht="53.25" customHeight="1">
      <c r="A2105" s="1631"/>
      <c r="B2105" s="4520"/>
      <c r="C2105" s="3217" t="s">
        <v>374</v>
      </c>
      <c r="D2105" s="3362" t="s">
        <v>817</v>
      </c>
      <c r="E2105" s="3269">
        <v>800000</v>
      </c>
      <c r="F2105" s="2762">
        <v>800000</v>
      </c>
      <c r="G2105" s="3145">
        <v>880000</v>
      </c>
      <c r="H2105" s="2756">
        <f t="shared" si="139"/>
        <v>1.1000000000000001</v>
      </c>
      <c r="J2105" s="1370"/>
    </row>
    <row r="2106" spans="1:10" s="1622" customFormat="1" ht="27.75" customHeight="1">
      <c r="A2106" s="1631"/>
      <c r="B2106" s="1653"/>
      <c r="C2106" s="3217" t="s">
        <v>1233</v>
      </c>
      <c r="D2106" s="3362" t="s">
        <v>1234</v>
      </c>
      <c r="E2106" s="3269">
        <v>111112</v>
      </c>
      <c r="F2106" s="2762">
        <v>122223</v>
      </c>
      <c r="G2106" s="3145">
        <v>140047</v>
      </c>
      <c r="H2106" s="2756">
        <f t="shared" si="139"/>
        <v>1.1458317992521865</v>
      </c>
      <c r="J2106" s="1370"/>
    </row>
    <row r="2107" spans="1:10" s="1622" customFormat="1" ht="28.5" customHeight="1" thickBot="1">
      <c r="A2107" s="1631"/>
      <c r="B2107" s="1653"/>
      <c r="C2107" s="3363" t="s">
        <v>1235</v>
      </c>
      <c r="D2107" s="3364" t="s">
        <v>1236</v>
      </c>
      <c r="E2107" s="3269">
        <v>2050006</v>
      </c>
      <c r="F2107" s="2762">
        <v>2322737</v>
      </c>
      <c r="G2107" s="3145">
        <v>2392506</v>
      </c>
      <c r="H2107" s="2756">
        <f t="shared" si="139"/>
        <v>1.0300374084539059</v>
      </c>
      <c r="J2107" s="1370"/>
    </row>
    <row r="2108" spans="1:10" ht="54" hidden="1" customHeight="1" thickBot="1">
      <c r="A2108" s="1556"/>
      <c r="B2108" s="1750"/>
      <c r="C2108" s="3302" t="s">
        <v>309</v>
      </c>
      <c r="D2108" s="3365" t="s">
        <v>948</v>
      </c>
      <c r="E2108" s="3298">
        <v>0</v>
      </c>
      <c r="F2108" s="2805"/>
      <c r="G2108" s="3224"/>
      <c r="H2108" s="2807" t="e">
        <f t="shared" si="139"/>
        <v>#DIV/0!</v>
      </c>
    </row>
    <row r="2109" spans="1:10" ht="17.25" hidden="1" customHeight="1" thickBot="1">
      <c r="A2109" s="1556"/>
      <c r="B2109" s="1750"/>
      <c r="C2109" s="3366"/>
      <c r="D2109" s="3367"/>
      <c r="E2109" s="3298"/>
      <c r="F2109" s="2805"/>
      <c r="G2109" s="3224"/>
      <c r="H2109" s="2807" t="e">
        <f t="shared" si="139"/>
        <v>#DIV/0!</v>
      </c>
    </row>
    <row r="2110" spans="1:10" ht="17.25" hidden="1" customHeight="1" thickBot="1">
      <c r="A2110" s="1556"/>
      <c r="B2110" s="1750"/>
      <c r="C2110" s="4539" t="s">
        <v>744</v>
      </c>
      <c r="D2110" s="4540"/>
      <c r="E2110" s="2500">
        <v>0</v>
      </c>
      <c r="F2110" s="2805"/>
      <c r="G2110" s="3224"/>
      <c r="H2110" s="2807" t="e">
        <f t="shared" si="139"/>
        <v>#DIV/0!</v>
      </c>
    </row>
    <row r="2111" spans="1:10" ht="18" hidden="1" customHeight="1" thickBot="1">
      <c r="A2111" s="1556"/>
      <c r="B2111" s="1750"/>
      <c r="C2111" s="4541" t="s">
        <v>869</v>
      </c>
      <c r="D2111" s="4542"/>
      <c r="E2111" s="3280">
        <v>0</v>
      </c>
      <c r="F2111" s="2805"/>
      <c r="G2111" s="3070"/>
      <c r="H2111" s="2807" t="e">
        <f t="shared" si="139"/>
        <v>#DIV/0!</v>
      </c>
    </row>
    <row r="2112" spans="1:10" ht="52.5" hidden="1" customHeight="1" thickBot="1">
      <c r="A2112" s="1556"/>
      <c r="B2112" s="1750"/>
      <c r="C2112" s="3368" t="s">
        <v>1075</v>
      </c>
      <c r="D2112" s="3121" t="s">
        <v>1237</v>
      </c>
      <c r="E2112" s="3369">
        <v>0</v>
      </c>
      <c r="F2112" s="2805"/>
      <c r="G2112" s="3070"/>
      <c r="H2112" s="3071" t="e">
        <f t="shared" si="139"/>
        <v>#DIV/0!</v>
      </c>
    </row>
    <row r="2113" spans="1:10" s="1622" customFormat="1" ht="17.100000000000001" customHeight="1" thickBot="1">
      <c r="A2113" s="1631"/>
      <c r="B2113" s="1624" t="s">
        <v>1238</v>
      </c>
      <c r="C2113" s="1625"/>
      <c r="D2113" s="1626" t="s">
        <v>1239</v>
      </c>
      <c r="E2113" s="1627">
        <f>SUM(E2114,E2194)</f>
        <v>31637385</v>
      </c>
      <c r="F2113" s="1628">
        <f>SUM(F2114,F2194)</f>
        <v>33136349</v>
      </c>
      <c r="G2113" s="1629">
        <f>SUM(G2114,G2194)</f>
        <v>35201367</v>
      </c>
      <c r="H2113" s="1630">
        <f t="shared" si="139"/>
        <v>1.062318814906253</v>
      </c>
      <c r="J2113" s="1370"/>
    </row>
    <row r="2114" spans="1:10" s="1622" customFormat="1" ht="17.100000000000001" customHeight="1">
      <c r="A2114" s="1631"/>
      <c r="B2114" s="1653"/>
      <c r="C2114" s="4426" t="s">
        <v>688</v>
      </c>
      <c r="D2114" s="4426"/>
      <c r="E2114" s="3370">
        <f>SUM(E2115,E2145,E2149)</f>
        <v>31439385</v>
      </c>
      <c r="F2114" s="2784">
        <f>SUM(F2115,F2145,F2149)</f>
        <v>32938349</v>
      </c>
      <c r="G2114" s="3371">
        <f>SUM(G2115,G2145,G2149)</f>
        <v>34783567</v>
      </c>
      <c r="H2114" s="1636">
        <f t="shared" si="139"/>
        <v>1.0560203548757103</v>
      </c>
      <c r="J2114" s="1370"/>
    </row>
    <row r="2115" spans="1:10" s="1622" customFormat="1" ht="17.100000000000001" customHeight="1">
      <c r="A2115" s="1631"/>
      <c r="B2115" s="1653"/>
      <c r="C2115" s="4543" t="s">
        <v>689</v>
      </c>
      <c r="D2115" s="4543"/>
      <c r="E2115" s="3372">
        <f>SUM(E2116,E2124)</f>
        <v>11439037</v>
      </c>
      <c r="F2115" s="2754">
        <f>SUM(F2116,F2124)</f>
        <v>12993627</v>
      </c>
      <c r="G2115" s="3373">
        <f>SUM(G2116,G2124)</f>
        <v>13670887</v>
      </c>
      <c r="H2115" s="2756">
        <f t="shared" si="139"/>
        <v>1.0521224751179943</v>
      </c>
      <c r="J2115" s="1370"/>
    </row>
    <row r="2116" spans="1:10" s="1622" customFormat="1" ht="17.100000000000001" customHeight="1">
      <c r="A2116" s="1631"/>
      <c r="B2116" s="1653"/>
      <c r="C2116" s="4544" t="s">
        <v>690</v>
      </c>
      <c r="D2116" s="4544"/>
      <c r="E2116" s="3374">
        <f>SUM(E2117:E2122)</f>
        <v>9273471</v>
      </c>
      <c r="F2116" s="2758">
        <f>SUM(F2117:F2122)</f>
        <v>10794265</v>
      </c>
      <c r="G2116" s="3375">
        <f>SUM(G2117:G2122)</f>
        <v>11194299</v>
      </c>
      <c r="H2116" s="3216">
        <f t="shared" si="139"/>
        <v>1.0370598646596132</v>
      </c>
      <c r="J2116" s="1370" t="s">
        <v>826</v>
      </c>
    </row>
    <row r="2117" spans="1:10" s="1622" customFormat="1" ht="17.100000000000001" customHeight="1">
      <c r="A2117" s="1631"/>
      <c r="B2117" s="1653"/>
      <c r="C2117" s="2471" t="s">
        <v>692</v>
      </c>
      <c r="D2117" s="2458" t="s">
        <v>693</v>
      </c>
      <c r="E2117" s="3372">
        <v>7192075</v>
      </c>
      <c r="F2117" s="2762">
        <v>8492075</v>
      </c>
      <c r="G2117" s="3376">
        <v>8664738</v>
      </c>
      <c r="H2117" s="2756">
        <f t="shared" si="139"/>
        <v>1.0203322509516226</v>
      </c>
      <c r="J2117" s="1370"/>
    </row>
    <row r="2118" spans="1:10" s="1622" customFormat="1" ht="17.100000000000001" customHeight="1">
      <c r="A2118" s="1653"/>
      <c r="B2118" s="1653"/>
      <c r="C2118" s="3377" t="s">
        <v>694</v>
      </c>
      <c r="D2118" s="3378" t="s">
        <v>695</v>
      </c>
      <c r="E2118" s="3379">
        <v>571915</v>
      </c>
      <c r="F2118" s="3380">
        <v>538119</v>
      </c>
      <c r="G2118" s="3376">
        <v>686648</v>
      </c>
      <c r="H2118" s="3381">
        <f t="shared" si="139"/>
        <v>1.2760151564988413</v>
      </c>
      <c r="J2118" s="1370"/>
    </row>
    <row r="2119" spans="1:10" s="1622" customFormat="1" ht="17.100000000000001" customHeight="1">
      <c r="A2119" s="1631"/>
      <c r="B2119" s="1653"/>
      <c r="C2119" s="2471" t="s">
        <v>696</v>
      </c>
      <c r="D2119" s="2458" t="s">
        <v>697</v>
      </c>
      <c r="E2119" s="2644">
        <v>1292991</v>
      </c>
      <c r="F2119" s="1859">
        <v>1513591</v>
      </c>
      <c r="G2119" s="3376">
        <v>1568854</v>
      </c>
      <c r="H2119" s="1659">
        <f t="shared" si="139"/>
        <v>1.0365111843291881</v>
      </c>
      <c r="J2119" s="1370"/>
    </row>
    <row r="2120" spans="1:10" s="1622" customFormat="1" ht="15.75" customHeight="1">
      <c r="A2120" s="1631"/>
      <c r="B2120" s="1653"/>
      <c r="C2120" s="3382" t="s">
        <v>698</v>
      </c>
      <c r="D2120" s="3383" t="s">
        <v>699</v>
      </c>
      <c r="E2120" s="3379">
        <v>161942</v>
      </c>
      <c r="F2120" s="2762">
        <v>188242</v>
      </c>
      <c r="G2120" s="3376">
        <v>202229</v>
      </c>
      <c r="H2120" s="2756">
        <f t="shared" si="139"/>
        <v>1.0743032904452778</v>
      </c>
      <c r="J2120" s="1370"/>
    </row>
    <row r="2121" spans="1:10" s="1622" customFormat="1" ht="17.100000000000001" customHeight="1">
      <c r="A2121" s="1631"/>
      <c r="B2121" s="1653"/>
      <c r="C2121" s="3382" t="s">
        <v>700</v>
      </c>
      <c r="D2121" s="3383" t="s">
        <v>701</v>
      </c>
      <c r="E2121" s="3379">
        <v>10860</v>
      </c>
      <c r="F2121" s="2762">
        <v>10860</v>
      </c>
      <c r="G2121" s="3376">
        <v>17260</v>
      </c>
      <c r="H2121" s="2756">
        <f t="shared" si="139"/>
        <v>1.5893186003683242</v>
      </c>
      <c r="J2121" s="1370"/>
    </row>
    <row r="2122" spans="1:10" s="1622" customFormat="1" ht="17.100000000000001" customHeight="1">
      <c r="A2122" s="1631"/>
      <c r="B2122" s="1653"/>
      <c r="C2122" s="2483" t="s">
        <v>702</v>
      </c>
      <c r="D2122" s="3384" t="s">
        <v>703</v>
      </c>
      <c r="E2122" s="3379">
        <v>43688</v>
      </c>
      <c r="F2122" s="2762">
        <v>51378</v>
      </c>
      <c r="G2122" s="3376">
        <v>54570</v>
      </c>
      <c r="H2122" s="2756">
        <f t="shared" si="139"/>
        <v>1.0621277589629803</v>
      </c>
      <c r="J2122" s="1370"/>
    </row>
    <row r="2123" spans="1:10" s="1622" customFormat="1" ht="17.100000000000001" customHeight="1">
      <c r="A2123" s="1631"/>
      <c r="B2123" s="1653"/>
      <c r="C2123" s="1865"/>
      <c r="D2123" s="1865"/>
      <c r="E2123" s="3379"/>
      <c r="F2123" s="2762"/>
      <c r="G2123" s="3145"/>
      <c r="H2123" s="2756"/>
      <c r="J2123" s="1370"/>
    </row>
    <row r="2124" spans="1:10" s="1622" customFormat="1" ht="17.100000000000001" customHeight="1">
      <c r="A2124" s="1631"/>
      <c r="B2124" s="1653"/>
      <c r="C2124" s="4545" t="s">
        <v>704</v>
      </c>
      <c r="D2124" s="4545"/>
      <c r="E2124" s="3385">
        <f>SUM(E2125:E2143)</f>
        <v>2165566</v>
      </c>
      <c r="F2124" s="2758">
        <f>SUM(F2125:F2143)</f>
        <v>2199362</v>
      </c>
      <c r="G2124" s="3386">
        <f>SUM(G2125:G2143)</f>
        <v>2476588</v>
      </c>
      <c r="H2124" s="3216">
        <f t="shared" ref="H2124:H2143" si="141">G2124/F2124</f>
        <v>1.126048372209759</v>
      </c>
      <c r="J2124" s="1370" t="s">
        <v>826</v>
      </c>
    </row>
    <row r="2125" spans="1:10" s="1622" customFormat="1" ht="17.100000000000001" customHeight="1">
      <c r="A2125" s="1631"/>
      <c r="B2125" s="1653"/>
      <c r="C2125" s="3382" t="s">
        <v>705</v>
      </c>
      <c r="D2125" s="3383" t="s">
        <v>706</v>
      </c>
      <c r="E2125" s="3379">
        <v>6000</v>
      </c>
      <c r="F2125" s="2762">
        <v>6000</v>
      </c>
      <c r="G2125" s="3387">
        <v>6000</v>
      </c>
      <c r="H2125" s="2756">
        <f t="shared" si="141"/>
        <v>1</v>
      </c>
      <c r="J2125" s="1370"/>
    </row>
    <row r="2126" spans="1:10" s="1622" customFormat="1" ht="17.100000000000001" customHeight="1">
      <c r="A2126" s="1631"/>
      <c r="B2126" s="1653"/>
      <c r="C2126" s="3382" t="s">
        <v>707</v>
      </c>
      <c r="D2126" s="3383" t="s">
        <v>708</v>
      </c>
      <c r="E2126" s="3379">
        <v>289750</v>
      </c>
      <c r="F2126" s="2762">
        <v>289750</v>
      </c>
      <c r="G2126" s="3387">
        <v>330680</v>
      </c>
      <c r="H2126" s="2756">
        <f t="shared" si="141"/>
        <v>1.1412597066436583</v>
      </c>
      <c r="J2126" s="1370"/>
    </row>
    <row r="2127" spans="1:10" s="1622" customFormat="1" ht="17.100000000000001" customHeight="1">
      <c r="A2127" s="1631"/>
      <c r="B2127" s="1653"/>
      <c r="C2127" s="3382" t="s">
        <v>709</v>
      </c>
      <c r="D2127" s="3383" t="s">
        <v>710</v>
      </c>
      <c r="E2127" s="3379">
        <v>6000</v>
      </c>
      <c r="F2127" s="2762">
        <v>6000</v>
      </c>
      <c r="G2127" s="3387">
        <v>6000</v>
      </c>
      <c r="H2127" s="2756">
        <f t="shared" si="141"/>
        <v>1</v>
      </c>
      <c r="J2127" s="1370"/>
    </row>
    <row r="2128" spans="1:10" s="1622" customFormat="1" ht="17.100000000000001" customHeight="1">
      <c r="A2128" s="1631"/>
      <c r="B2128" s="1653"/>
      <c r="C2128" s="3382" t="s">
        <v>711</v>
      </c>
      <c r="D2128" s="3383" t="s">
        <v>712</v>
      </c>
      <c r="E2128" s="3379">
        <v>138200</v>
      </c>
      <c r="F2128" s="2762">
        <v>203273</v>
      </c>
      <c r="G2128" s="3387">
        <v>343000</v>
      </c>
      <c r="H2128" s="2756">
        <f t="shared" si="141"/>
        <v>1.6873859292675368</v>
      </c>
      <c r="J2128" s="1370"/>
    </row>
    <row r="2129" spans="1:10" s="1622" customFormat="1" ht="17.100000000000001" customHeight="1">
      <c r="A2129" s="1631"/>
      <c r="B2129" s="1653"/>
      <c r="C2129" s="3382" t="s">
        <v>713</v>
      </c>
      <c r="D2129" s="3383" t="s">
        <v>714</v>
      </c>
      <c r="E2129" s="3379">
        <v>71500</v>
      </c>
      <c r="F2129" s="2762">
        <v>71500</v>
      </c>
      <c r="G2129" s="3387">
        <v>86000</v>
      </c>
      <c r="H2129" s="2756">
        <f t="shared" si="141"/>
        <v>1.2027972027972027</v>
      </c>
      <c r="J2129" s="1370"/>
    </row>
    <row r="2130" spans="1:10" s="1622" customFormat="1" ht="17.100000000000001" customHeight="1">
      <c r="A2130" s="1631"/>
      <c r="B2130" s="1653"/>
      <c r="C2130" s="3382" t="s">
        <v>715</v>
      </c>
      <c r="D2130" s="3383" t="s">
        <v>716</v>
      </c>
      <c r="E2130" s="3379">
        <v>7517</v>
      </c>
      <c r="F2130" s="2762">
        <v>7517</v>
      </c>
      <c r="G2130" s="3387">
        <v>15989</v>
      </c>
      <c r="H2130" s="2756">
        <f t="shared" si="141"/>
        <v>2.1270453638419582</v>
      </c>
      <c r="J2130" s="1370"/>
    </row>
    <row r="2131" spans="1:10" s="1622" customFormat="1" ht="17.100000000000001" customHeight="1">
      <c r="A2131" s="1631"/>
      <c r="B2131" s="1653"/>
      <c r="C2131" s="3382" t="s">
        <v>717</v>
      </c>
      <c r="D2131" s="3383" t="s">
        <v>718</v>
      </c>
      <c r="E2131" s="3379">
        <v>731462</v>
      </c>
      <c r="F2131" s="2762">
        <v>727779</v>
      </c>
      <c r="G2131" s="3387">
        <v>768819</v>
      </c>
      <c r="H2131" s="2756">
        <f t="shared" si="141"/>
        <v>1.056390744992642</v>
      </c>
      <c r="J2131" s="1370"/>
    </row>
    <row r="2132" spans="1:10" s="1622" customFormat="1" ht="16.5" customHeight="1">
      <c r="A2132" s="1631"/>
      <c r="B2132" s="1653"/>
      <c r="C2132" s="3382" t="s">
        <v>719</v>
      </c>
      <c r="D2132" s="3383" t="s">
        <v>720</v>
      </c>
      <c r="E2132" s="3379">
        <v>44400</v>
      </c>
      <c r="F2132" s="2762">
        <v>44400</v>
      </c>
      <c r="G2132" s="3387">
        <v>37800</v>
      </c>
      <c r="H2132" s="2756">
        <f t="shared" si="141"/>
        <v>0.85135135135135132</v>
      </c>
      <c r="J2132" s="1370"/>
    </row>
    <row r="2133" spans="1:10" s="1622" customFormat="1" ht="16.5" customHeight="1">
      <c r="A2133" s="1653"/>
      <c r="B2133" s="1653"/>
      <c r="C2133" s="3377" t="s">
        <v>900</v>
      </c>
      <c r="D2133" s="3378" t="s">
        <v>901</v>
      </c>
      <c r="E2133" s="3379">
        <v>500</v>
      </c>
      <c r="F2133" s="2762">
        <v>500</v>
      </c>
      <c r="G2133" s="3145">
        <v>1000</v>
      </c>
      <c r="H2133" s="2756">
        <f t="shared" si="141"/>
        <v>2</v>
      </c>
      <c r="J2133" s="1370"/>
    </row>
    <row r="2134" spans="1:10" s="1622" customFormat="1" ht="16.5" customHeight="1">
      <c r="A2134" s="1631"/>
      <c r="B2134" s="1653"/>
      <c r="C2134" s="2471" t="s">
        <v>721</v>
      </c>
      <c r="D2134" s="2458" t="s">
        <v>722</v>
      </c>
      <c r="E2134" s="2644">
        <v>7000</v>
      </c>
      <c r="F2134" s="2762">
        <v>7000</v>
      </c>
      <c r="G2134" s="3145">
        <v>2500</v>
      </c>
      <c r="H2134" s="2756">
        <f t="shared" si="141"/>
        <v>0.35714285714285715</v>
      </c>
      <c r="J2134" s="1370"/>
    </row>
    <row r="2135" spans="1:10" s="1622" customFormat="1" ht="25.5" customHeight="1">
      <c r="A2135" s="1653"/>
      <c r="B2135" s="1653"/>
      <c r="C2135" s="3377" t="s">
        <v>723</v>
      </c>
      <c r="D2135" s="3378" t="s">
        <v>724</v>
      </c>
      <c r="E2135" s="3379">
        <v>113700</v>
      </c>
      <c r="F2135" s="2762">
        <v>81200</v>
      </c>
      <c r="G2135" s="3145">
        <v>92200</v>
      </c>
      <c r="H2135" s="2756">
        <f t="shared" si="141"/>
        <v>1.1354679802955665</v>
      </c>
      <c r="J2135" s="1370"/>
    </row>
    <row r="2136" spans="1:10" s="1622" customFormat="1" ht="17.100000000000001" customHeight="1">
      <c r="A2136" s="1631"/>
      <c r="B2136" s="1653"/>
      <c r="C2136" s="2426" t="s">
        <v>725</v>
      </c>
      <c r="D2136" s="3388" t="s">
        <v>726</v>
      </c>
      <c r="E2136" s="2644">
        <v>35200</v>
      </c>
      <c r="F2136" s="1859">
        <v>38883</v>
      </c>
      <c r="G2136" s="2558">
        <v>39400</v>
      </c>
      <c r="H2136" s="1659">
        <f t="shared" si="141"/>
        <v>1.0132962991538719</v>
      </c>
      <c r="J2136" s="1370"/>
    </row>
    <row r="2137" spans="1:10" s="1622" customFormat="1" ht="17.100000000000001" customHeight="1">
      <c r="A2137" s="1631"/>
      <c r="B2137" s="1653"/>
      <c r="C2137" s="2471" t="s">
        <v>865</v>
      </c>
      <c r="D2137" s="2458" t="s">
        <v>866</v>
      </c>
      <c r="E2137" s="3379">
        <v>1000</v>
      </c>
      <c r="F2137" s="2762">
        <v>1000</v>
      </c>
      <c r="G2137" s="3145">
        <v>1000</v>
      </c>
      <c r="H2137" s="2756">
        <f t="shared" si="141"/>
        <v>1</v>
      </c>
      <c r="J2137" s="1370"/>
    </row>
    <row r="2138" spans="1:10" s="1622" customFormat="1" ht="17.100000000000001" customHeight="1">
      <c r="A2138" s="1631"/>
      <c r="B2138" s="1653"/>
      <c r="C2138" s="3382" t="s">
        <v>727</v>
      </c>
      <c r="D2138" s="3383" t="s">
        <v>728</v>
      </c>
      <c r="E2138" s="3379">
        <v>27200</v>
      </c>
      <c r="F2138" s="2762">
        <v>27200</v>
      </c>
      <c r="G2138" s="3145">
        <v>25100</v>
      </c>
      <c r="H2138" s="2756">
        <f t="shared" si="141"/>
        <v>0.92279411764705888</v>
      </c>
      <c r="J2138" s="1370"/>
    </row>
    <row r="2139" spans="1:10" s="1622" customFormat="1" ht="17.100000000000001" customHeight="1">
      <c r="A2139" s="1631"/>
      <c r="B2139" s="1653"/>
      <c r="C2139" s="3382" t="s">
        <v>729</v>
      </c>
      <c r="D2139" s="3383" t="s">
        <v>730</v>
      </c>
      <c r="E2139" s="3379">
        <v>501077</v>
      </c>
      <c r="F2139" s="2762">
        <v>509873</v>
      </c>
      <c r="G2139" s="3387">
        <v>528000</v>
      </c>
      <c r="H2139" s="2756">
        <f t="shared" si="141"/>
        <v>1.0355519903976089</v>
      </c>
      <c r="J2139" s="1370"/>
    </row>
    <row r="2140" spans="1:10" s="1622" customFormat="1" ht="17.100000000000001" customHeight="1">
      <c r="A2140" s="1631"/>
      <c r="B2140" s="1653"/>
      <c r="C2140" s="3382" t="s">
        <v>731</v>
      </c>
      <c r="D2140" s="3383" t="s">
        <v>732</v>
      </c>
      <c r="E2140" s="3379">
        <v>27000</v>
      </c>
      <c r="F2140" s="2762">
        <v>26715</v>
      </c>
      <c r="G2140" s="3387">
        <v>28000</v>
      </c>
      <c r="H2140" s="2756">
        <f t="shared" si="141"/>
        <v>1.0481003181733108</v>
      </c>
      <c r="J2140" s="1370"/>
    </row>
    <row r="2141" spans="1:10" s="1622" customFormat="1" ht="17.100000000000001" customHeight="1">
      <c r="A2141" s="1631"/>
      <c r="B2141" s="1653"/>
      <c r="C2141" s="3382" t="s">
        <v>735</v>
      </c>
      <c r="D2141" s="3383" t="s">
        <v>736</v>
      </c>
      <c r="E2141" s="3379">
        <v>92760</v>
      </c>
      <c r="F2141" s="2762">
        <v>85472</v>
      </c>
      <c r="G2141" s="3387">
        <v>93000</v>
      </c>
      <c r="H2141" s="2756">
        <f t="shared" si="141"/>
        <v>1.0880756271059528</v>
      </c>
      <c r="J2141" s="1370"/>
    </row>
    <row r="2142" spans="1:10" s="1622" customFormat="1" ht="17.100000000000001" customHeight="1">
      <c r="A2142" s="1631"/>
      <c r="B2142" s="1653"/>
      <c r="C2142" s="3382" t="s">
        <v>815</v>
      </c>
      <c r="D2142" s="3383" t="s">
        <v>816</v>
      </c>
      <c r="E2142" s="3379">
        <v>4500</v>
      </c>
      <c r="F2142" s="2762">
        <v>4500</v>
      </c>
      <c r="G2142" s="3387">
        <v>4500</v>
      </c>
      <c r="H2142" s="2756">
        <f t="shared" si="141"/>
        <v>1</v>
      </c>
      <c r="J2142" s="1370"/>
    </row>
    <row r="2143" spans="1:10" s="1622" customFormat="1" ht="17.25" customHeight="1">
      <c r="A2143" s="1631"/>
      <c r="B2143" s="1653"/>
      <c r="C2143" s="3382" t="s">
        <v>739</v>
      </c>
      <c r="D2143" s="3383" t="s">
        <v>740</v>
      </c>
      <c r="E2143" s="3379">
        <v>60800</v>
      </c>
      <c r="F2143" s="2762">
        <v>60800</v>
      </c>
      <c r="G2143" s="3387">
        <v>67600</v>
      </c>
      <c r="H2143" s="2756">
        <f t="shared" si="141"/>
        <v>1.111842105263158</v>
      </c>
      <c r="J2143" s="1370"/>
    </row>
    <row r="2144" spans="1:10" s="1622" customFormat="1" ht="17.25" customHeight="1">
      <c r="A2144" s="1631"/>
      <c r="B2144" s="1653"/>
      <c r="C2144" s="3389"/>
      <c r="D2144" s="3389"/>
      <c r="E2144" s="3379"/>
      <c r="F2144" s="2762"/>
      <c r="G2144" s="3387"/>
      <c r="H2144" s="2756"/>
      <c r="J2144" s="1370"/>
    </row>
    <row r="2145" spans="1:10" s="1622" customFormat="1" ht="17.100000000000001" customHeight="1">
      <c r="A2145" s="1631"/>
      <c r="B2145" s="1653"/>
      <c r="C2145" s="4533" t="s">
        <v>741</v>
      </c>
      <c r="D2145" s="4533"/>
      <c r="E2145" s="3379">
        <f>SUM(E2146:E2147)</f>
        <v>20630</v>
      </c>
      <c r="F2145" s="2754">
        <f>SUM(F2146:F2147)</f>
        <v>20630</v>
      </c>
      <c r="G2145" s="3373">
        <f>SUM(G2146:G2147)</f>
        <v>18780</v>
      </c>
      <c r="H2145" s="2756">
        <f>G2145/F2145</f>
        <v>0.9103247697527872</v>
      </c>
      <c r="J2145" s="1370" t="s">
        <v>826</v>
      </c>
    </row>
    <row r="2146" spans="1:10" s="1622" customFormat="1" ht="17.100000000000001" customHeight="1">
      <c r="A2146" s="1631"/>
      <c r="B2146" s="1653"/>
      <c r="C2146" s="3390" t="s">
        <v>742</v>
      </c>
      <c r="D2146" s="3391" t="s">
        <v>743</v>
      </c>
      <c r="E2146" s="3379">
        <v>19500</v>
      </c>
      <c r="F2146" s="2762">
        <v>19500</v>
      </c>
      <c r="G2146" s="3145">
        <v>17500</v>
      </c>
      <c r="H2146" s="2756">
        <f>G2146/F2146</f>
        <v>0.89743589743589747</v>
      </c>
      <c r="J2146" s="1370"/>
    </row>
    <row r="2147" spans="1:10" s="1622" customFormat="1" ht="17.100000000000001" customHeight="1">
      <c r="A2147" s="1631"/>
      <c r="B2147" s="1653"/>
      <c r="C2147" s="3392" t="s">
        <v>984</v>
      </c>
      <c r="D2147" s="3393" t="s">
        <v>993</v>
      </c>
      <c r="E2147" s="3379">
        <v>1130</v>
      </c>
      <c r="F2147" s="2762">
        <v>1130</v>
      </c>
      <c r="G2147" s="3145">
        <v>1280</v>
      </c>
      <c r="H2147" s="2756">
        <f>G2147/F2147</f>
        <v>1.1327433628318584</v>
      </c>
      <c r="J2147" s="1370"/>
    </row>
    <row r="2148" spans="1:10" s="1622" customFormat="1" ht="15" customHeight="1">
      <c r="A2148" s="1653"/>
      <c r="B2148" s="1653"/>
      <c r="C2148" s="3394"/>
      <c r="D2148" s="3395"/>
      <c r="E2148" s="3379"/>
      <c r="F2148" s="2762"/>
      <c r="G2148" s="3145"/>
      <c r="H2148" s="2756"/>
      <c r="J2148" s="1370"/>
    </row>
    <row r="2149" spans="1:10" s="1622" customFormat="1" ht="17.100000000000001" customHeight="1">
      <c r="A2149" s="1631"/>
      <c r="B2149" s="1653"/>
      <c r="C2149" s="4534" t="s">
        <v>761</v>
      </c>
      <c r="D2149" s="4535"/>
      <c r="E2149" s="2644">
        <f>SUM(E2150:E2192)</f>
        <v>19979718</v>
      </c>
      <c r="F2149" s="2650">
        <f>SUM(F2150:F2192)</f>
        <v>19924092</v>
      </c>
      <c r="G2149" s="2651">
        <f>SUM(G2150:G2192)</f>
        <v>21093900</v>
      </c>
      <c r="H2149" s="1659">
        <f t="shared" ref="H2149:H2192" si="142">G2149/F2149</f>
        <v>1.0587132402319765</v>
      </c>
      <c r="J2149" s="1370" t="s">
        <v>1240</v>
      </c>
    </row>
    <row r="2150" spans="1:10" s="1622" customFormat="1" ht="17.100000000000001" customHeight="1">
      <c r="A2150" s="1631"/>
      <c r="B2150" s="1653"/>
      <c r="C2150" s="3396" t="s">
        <v>1039</v>
      </c>
      <c r="D2150" s="3397" t="s">
        <v>852</v>
      </c>
      <c r="E2150" s="3379">
        <v>0</v>
      </c>
      <c r="F2150" s="2762">
        <v>374</v>
      </c>
      <c r="G2150" s="3145">
        <v>0</v>
      </c>
      <c r="H2150" s="2756">
        <f t="shared" si="142"/>
        <v>0</v>
      </c>
      <c r="J2150" s="1370"/>
    </row>
    <row r="2151" spans="1:10" s="1622" customFormat="1" ht="16.5" customHeight="1">
      <c r="A2151" s="1631"/>
      <c r="B2151" s="1653"/>
      <c r="C2151" s="3382" t="s">
        <v>994</v>
      </c>
      <c r="D2151" s="2447" t="s">
        <v>743</v>
      </c>
      <c r="E2151" s="3379">
        <v>17800</v>
      </c>
      <c r="F2151" s="2762">
        <v>17800</v>
      </c>
      <c r="G2151" s="3398">
        <f>11900+5900</f>
        <v>17800</v>
      </c>
      <c r="H2151" s="2756">
        <f t="shared" si="142"/>
        <v>1</v>
      </c>
      <c r="J2151" s="1370"/>
    </row>
    <row r="2152" spans="1:10" s="1622" customFormat="1" ht="16.5" customHeight="1">
      <c r="A2152" s="1631"/>
      <c r="B2152" s="1653"/>
      <c r="C2152" s="3166" t="s">
        <v>995</v>
      </c>
      <c r="D2152" s="3221" t="s">
        <v>743</v>
      </c>
      <c r="E2152" s="3372">
        <v>3200</v>
      </c>
      <c r="F2152" s="2762">
        <v>3200</v>
      </c>
      <c r="G2152" s="3376">
        <f>2100+1100</f>
        <v>3200</v>
      </c>
      <c r="H2152" s="2756">
        <f t="shared" si="142"/>
        <v>1</v>
      </c>
      <c r="J2152" s="1370"/>
    </row>
    <row r="2153" spans="1:10" s="1622" customFormat="1" ht="17.100000000000001" customHeight="1" thickBot="1">
      <c r="A2153" s="1673"/>
      <c r="B2153" s="1890"/>
      <c r="C2153" s="3399" t="s">
        <v>766</v>
      </c>
      <c r="D2153" s="3400" t="s">
        <v>693</v>
      </c>
      <c r="E2153" s="3401">
        <v>12246974</v>
      </c>
      <c r="F2153" s="1676">
        <v>12246974</v>
      </c>
      <c r="G2153" s="3402">
        <f>10092576+2547015</f>
        <v>12639591</v>
      </c>
      <c r="H2153" s="1678">
        <f t="shared" si="142"/>
        <v>1.0320582863979297</v>
      </c>
      <c r="J2153" s="1370"/>
    </row>
    <row r="2154" spans="1:10" s="1622" customFormat="1" ht="17.100000000000001" customHeight="1">
      <c r="A2154" s="1623"/>
      <c r="B2154" s="1894"/>
      <c r="C2154" s="3403" t="s">
        <v>767</v>
      </c>
      <c r="D2154" s="3404" t="s">
        <v>693</v>
      </c>
      <c r="E2154" s="3405">
        <v>2185969</v>
      </c>
      <c r="F2154" s="2468">
        <v>2185969</v>
      </c>
      <c r="G2154" s="3406">
        <f>1781043+475072</f>
        <v>2256115</v>
      </c>
      <c r="H2154" s="2470">
        <f t="shared" si="142"/>
        <v>1.0320892016309471</v>
      </c>
      <c r="J2154" s="1370"/>
    </row>
    <row r="2155" spans="1:10" s="1622" customFormat="1" ht="17.100000000000001" customHeight="1">
      <c r="A2155" s="1631"/>
      <c r="B2155" s="1653"/>
      <c r="C2155" s="3407" t="s">
        <v>768</v>
      </c>
      <c r="D2155" s="3408" t="s">
        <v>695</v>
      </c>
      <c r="E2155" s="3372">
        <v>802291</v>
      </c>
      <c r="F2155" s="3409">
        <v>775710</v>
      </c>
      <c r="G2155" s="3376">
        <f>674442+170161</f>
        <v>844603</v>
      </c>
      <c r="H2155" s="3410">
        <f t="shared" si="142"/>
        <v>1.0888128295368114</v>
      </c>
      <c r="J2155" s="1370"/>
    </row>
    <row r="2156" spans="1:10" s="1622" customFormat="1" ht="17.100000000000001" customHeight="1">
      <c r="A2156" s="1631"/>
      <c r="B2156" s="1653"/>
      <c r="C2156" s="3407" t="s">
        <v>769</v>
      </c>
      <c r="D2156" s="3408" t="s">
        <v>695</v>
      </c>
      <c r="E2156" s="3372">
        <v>143275</v>
      </c>
      <c r="F2156" s="3409">
        <v>138546</v>
      </c>
      <c r="G2156" s="3376">
        <f>119019+31739</f>
        <v>150758</v>
      </c>
      <c r="H2156" s="3410">
        <f t="shared" si="142"/>
        <v>1.0881440099317194</v>
      </c>
      <c r="J2156" s="1370"/>
    </row>
    <row r="2157" spans="1:10" s="1622" customFormat="1" ht="17.100000000000001" customHeight="1">
      <c r="A2157" s="1631"/>
      <c r="B2157" s="1653"/>
      <c r="C2157" s="3407" t="s">
        <v>770</v>
      </c>
      <c r="D2157" s="3408" t="s">
        <v>697</v>
      </c>
      <c r="E2157" s="3372">
        <v>2243170</v>
      </c>
      <c r="F2157" s="3409">
        <v>2225173</v>
      </c>
      <c r="G2157" s="3376">
        <f>1850851+467083</f>
        <v>2317934</v>
      </c>
      <c r="H2157" s="3410">
        <f t="shared" si="142"/>
        <v>1.0416870957898554</v>
      </c>
      <c r="J2157" s="1370"/>
    </row>
    <row r="2158" spans="1:10" s="1622" customFormat="1" ht="17.100000000000001" customHeight="1">
      <c r="A2158" s="1631"/>
      <c r="B2158" s="1653"/>
      <c r="C2158" s="3407" t="s">
        <v>771</v>
      </c>
      <c r="D2158" s="3408" t="s">
        <v>697</v>
      </c>
      <c r="E2158" s="3372">
        <v>400397</v>
      </c>
      <c r="F2158" s="3409">
        <v>397221</v>
      </c>
      <c r="G2158" s="3376">
        <f>326620+87121</f>
        <v>413741</v>
      </c>
      <c r="H2158" s="3410">
        <f t="shared" si="142"/>
        <v>1.0415889391547779</v>
      </c>
      <c r="J2158" s="1370"/>
    </row>
    <row r="2159" spans="1:10" s="1622" customFormat="1" ht="16.5" customHeight="1">
      <c r="A2159" s="1631"/>
      <c r="B2159" s="1653"/>
      <c r="C2159" s="3407" t="s">
        <v>772</v>
      </c>
      <c r="D2159" s="3408" t="s">
        <v>699</v>
      </c>
      <c r="E2159" s="3372">
        <v>319707</v>
      </c>
      <c r="F2159" s="3409">
        <v>314281</v>
      </c>
      <c r="G2159" s="3376">
        <f>263792+66571</f>
        <v>330363</v>
      </c>
      <c r="H2159" s="3410">
        <f t="shared" si="142"/>
        <v>1.0511707675615134</v>
      </c>
      <c r="J2159" s="1370"/>
    </row>
    <row r="2160" spans="1:10" s="1622" customFormat="1" ht="16.5" customHeight="1">
      <c r="A2160" s="1631"/>
      <c r="B2160" s="1653"/>
      <c r="C2160" s="3407" t="s">
        <v>773</v>
      </c>
      <c r="D2160" s="3408" t="s">
        <v>699</v>
      </c>
      <c r="E2160" s="3372">
        <v>57066</v>
      </c>
      <c r="F2160" s="3409">
        <v>56109</v>
      </c>
      <c r="G2160" s="3376">
        <f>46552+12417</f>
        <v>58969</v>
      </c>
      <c r="H2160" s="3410">
        <f t="shared" si="142"/>
        <v>1.0509722147962002</v>
      </c>
      <c r="J2160" s="1370"/>
    </row>
    <row r="2161" spans="1:10" s="1622" customFormat="1" ht="17.100000000000001" customHeight="1">
      <c r="A2161" s="1631"/>
      <c r="B2161" s="1653"/>
      <c r="C2161" s="3407" t="s">
        <v>774</v>
      </c>
      <c r="D2161" s="3408" t="s">
        <v>701</v>
      </c>
      <c r="E2161" s="3372">
        <v>1700</v>
      </c>
      <c r="F2161" s="3409">
        <v>1700</v>
      </c>
      <c r="G2161" s="3376">
        <f>12750</f>
        <v>12750</v>
      </c>
      <c r="H2161" s="3410">
        <f t="shared" si="142"/>
        <v>7.5</v>
      </c>
      <c r="J2161" s="1370"/>
    </row>
    <row r="2162" spans="1:10" s="1622" customFormat="1" ht="17.100000000000001" customHeight="1">
      <c r="A2162" s="1631"/>
      <c r="B2162" s="1653"/>
      <c r="C2162" s="3407" t="s">
        <v>775</v>
      </c>
      <c r="D2162" s="3408" t="s">
        <v>701</v>
      </c>
      <c r="E2162" s="3372">
        <v>300</v>
      </c>
      <c r="F2162" s="3409">
        <v>300</v>
      </c>
      <c r="G2162" s="3376">
        <v>2250</v>
      </c>
      <c r="H2162" s="3410">
        <f t="shared" si="142"/>
        <v>7.5</v>
      </c>
      <c r="J2162" s="1370"/>
    </row>
    <row r="2163" spans="1:10" s="1622" customFormat="1" ht="17.100000000000001" customHeight="1">
      <c r="A2163" s="1631"/>
      <c r="B2163" s="1653"/>
      <c r="C2163" s="3407" t="s">
        <v>779</v>
      </c>
      <c r="D2163" s="3408" t="s">
        <v>708</v>
      </c>
      <c r="E2163" s="3372">
        <v>266625</v>
      </c>
      <c r="F2163" s="3409">
        <v>253140</v>
      </c>
      <c r="G2163" s="3376">
        <f>209950+62366</f>
        <v>272316</v>
      </c>
      <c r="H2163" s="3410">
        <f t="shared" si="142"/>
        <v>1.0757525479971557</v>
      </c>
      <c r="J2163" s="1370"/>
    </row>
    <row r="2164" spans="1:10" s="1622" customFormat="1" ht="17.100000000000001" customHeight="1">
      <c r="A2164" s="1631"/>
      <c r="B2164" s="1653"/>
      <c r="C2164" s="3407" t="s">
        <v>780</v>
      </c>
      <c r="D2164" s="3408" t="s">
        <v>708</v>
      </c>
      <c r="E2164" s="3372">
        <v>47775</v>
      </c>
      <c r="F2164" s="3409">
        <v>45260</v>
      </c>
      <c r="G2164" s="3376">
        <f>37050+11634</f>
        <v>48684</v>
      </c>
      <c r="H2164" s="3410">
        <f t="shared" si="142"/>
        <v>1.0756517896597437</v>
      </c>
      <c r="J2164" s="1370"/>
    </row>
    <row r="2165" spans="1:10" s="1622" customFormat="1" ht="17.100000000000001" customHeight="1">
      <c r="A2165" s="1631"/>
      <c r="B2165" s="1653"/>
      <c r="C2165" s="3407" t="s">
        <v>1000</v>
      </c>
      <c r="D2165" s="3408" t="s">
        <v>712</v>
      </c>
      <c r="E2165" s="3372">
        <v>158106</v>
      </c>
      <c r="F2165" s="3409">
        <v>241331</v>
      </c>
      <c r="G2165" s="3376">
        <f>314925+76695</f>
        <v>391620</v>
      </c>
      <c r="H2165" s="3410">
        <f t="shared" si="142"/>
        <v>1.622750496206455</v>
      </c>
      <c r="J2165" s="1370"/>
    </row>
    <row r="2166" spans="1:10" s="1622" customFormat="1" ht="17.100000000000001" customHeight="1">
      <c r="A2166" s="1631"/>
      <c r="B2166" s="1653"/>
      <c r="C2166" s="3407" t="s">
        <v>1001</v>
      </c>
      <c r="D2166" s="3408" t="s">
        <v>712</v>
      </c>
      <c r="E2166" s="3372">
        <v>28294</v>
      </c>
      <c r="F2166" s="3409">
        <v>43069</v>
      </c>
      <c r="G2166" s="3376">
        <f>55575+14305</f>
        <v>69880</v>
      </c>
      <c r="H2166" s="3410">
        <f t="shared" si="142"/>
        <v>1.6225127121595579</v>
      </c>
      <c r="J2166" s="1370"/>
    </row>
    <row r="2167" spans="1:10" s="1622" customFormat="1" ht="17.100000000000001" customHeight="1">
      <c r="A2167" s="1631"/>
      <c r="B2167" s="1653"/>
      <c r="C2167" s="3411" t="s">
        <v>781</v>
      </c>
      <c r="D2167" s="3412" t="s">
        <v>714</v>
      </c>
      <c r="E2167" s="3372">
        <v>54335</v>
      </c>
      <c r="F2167" s="3409">
        <v>54335</v>
      </c>
      <c r="G2167" s="3376">
        <f>41650+11378</f>
        <v>53028</v>
      </c>
      <c r="H2167" s="3410">
        <f t="shared" si="142"/>
        <v>0.97594552314346183</v>
      </c>
      <c r="J2167" s="1370"/>
    </row>
    <row r="2168" spans="1:10" s="1622" customFormat="1" ht="17.100000000000001" customHeight="1">
      <c r="A2168" s="1631"/>
      <c r="B2168" s="1653"/>
      <c r="C2168" s="3411" t="s">
        <v>782</v>
      </c>
      <c r="D2168" s="3412" t="s">
        <v>714</v>
      </c>
      <c r="E2168" s="3372">
        <v>9665</v>
      </c>
      <c r="F2168" s="3409">
        <v>9665</v>
      </c>
      <c r="G2168" s="3376">
        <f>7350+2122</f>
        <v>9472</v>
      </c>
      <c r="H2168" s="3410">
        <f t="shared" si="142"/>
        <v>0.98003103983445417</v>
      </c>
      <c r="J2168" s="1370"/>
    </row>
    <row r="2169" spans="1:10" s="1622" customFormat="1" ht="17.100000000000001" customHeight="1">
      <c r="A2169" s="1631"/>
      <c r="B2169" s="1653"/>
      <c r="C2169" s="3413" t="s">
        <v>1002</v>
      </c>
      <c r="D2169" s="3414" t="s">
        <v>716</v>
      </c>
      <c r="E2169" s="3372">
        <v>9825</v>
      </c>
      <c r="F2169" s="3409">
        <v>9825</v>
      </c>
      <c r="G2169" s="3376">
        <f>14620+2781</f>
        <v>17401</v>
      </c>
      <c r="H2169" s="3410">
        <f t="shared" si="142"/>
        <v>1.7710941475826971</v>
      </c>
      <c r="J2169" s="1370"/>
    </row>
    <row r="2170" spans="1:10" s="1622" customFormat="1" ht="17.100000000000001" customHeight="1">
      <c r="A2170" s="1631"/>
      <c r="B2170" s="1653"/>
      <c r="C2170" s="3415" t="s">
        <v>1003</v>
      </c>
      <c r="D2170" s="3416" t="s">
        <v>716</v>
      </c>
      <c r="E2170" s="3417">
        <v>1755</v>
      </c>
      <c r="F2170" s="3409">
        <v>1755</v>
      </c>
      <c r="G2170" s="3376">
        <f>2580+519</f>
        <v>3099</v>
      </c>
      <c r="H2170" s="3410">
        <f t="shared" si="142"/>
        <v>1.7658119658119658</v>
      </c>
      <c r="J2170" s="1370"/>
    </row>
    <row r="2171" spans="1:10" s="1622" customFormat="1" ht="17.100000000000001" customHeight="1">
      <c r="A2171" s="1653"/>
      <c r="B2171" s="1653"/>
      <c r="C2171" s="2471" t="s">
        <v>783</v>
      </c>
      <c r="D2171" s="2458" t="s">
        <v>718</v>
      </c>
      <c r="E2171" s="2644">
        <v>474093</v>
      </c>
      <c r="F2171" s="1859">
        <v>454357</v>
      </c>
      <c r="G2171" s="3376">
        <f>570920+56805</f>
        <v>627725</v>
      </c>
      <c r="H2171" s="1659">
        <f t="shared" si="142"/>
        <v>1.3815677980090546</v>
      </c>
      <c r="J2171" s="1370"/>
    </row>
    <row r="2172" spans="1:10" s="1622" customFormat="1" ht="17.100000000000001" customHeight="1">
      <c r="A2172" s="1631"/>
      <c r="B2172" s="1653"/>
      <c r="C2172" s="3418" t="s">
        <v>784</v>
      </c>
      <c r="D2172" s="3419" t="s">
        <v>718</v>
      </c>
      <c r="E2172" s="3417">
        <v>85007</v>
      </c>
      <c r="F2172" s="3409">
        <v>81609</v>
      </c>
      <c r="G2172" s="3376">
        <f>100750+10595</f>
        <v>111345</v>
      </c>
      <c r="H2172" s="3410">
        <f t="shared" si="142"/>
        <v>1.3643715766643385</v>
      </c>
      <c r="J2172" s="1370"/>
    </row>
    <row r="2173" spans="1:10" s="1622" customFormat="1" ht="16.5" customHeight="1">
      <c r="A2173" s="1631"/>
      <c r="B2173" s="1653"/>
      <c r="C2173" s="3418" t="s">
        <v>1004</v>
      </c>
      <c r="D2173" s="3419" t="s">
        <v>720</v>
      </c>
      <c r="E2173" s="3417">
        <v>34807</v>
      </c>
      <c r="F2173" s="3409">
        <v>34807</v>
      </c>
      <c r="G2173" s="3376">
        <f>21250+8428</f>
        <v>29678</v>
      </c>
      <c r="H2173" s="3410">
        <f t="shared" si="142"/>
        <v>0.85264458298618095</v>
      </c>
      <c r="J2173" s="1370"/>
    </row>
    <row r="2174" spans="1:10" s="1622" customFormat="1" ht="16.5" customHeight="1">
      <c r="A2174" s="1631"/>
      <c r="B2174" s="1653"/>
      <c r="C2174" s="3418" t="s">
        <v>1052</v>
      </c>
      <c r="D2174" s="3419" t="s">
        <v>720</v>
      </c>
      <c r="E2174" s="3417">
        <v>6193</v>
      </c>
      <c r="F2174" s="3409">
        <v>6193</v>
      </c>
      <c r="G2174" s="3376">
        <f>3750+1572</f>
        <v>5322</v>
      </c>
      <c r="H2174" s="3410">
        <f t="shared" si="142"/>
        <v>0.85935733893105115</v>
      </c>
      <c r="J2174" s="1370"/>
    </row>
    <row r="2175" spans="1:10" s="1622" customFormat="1" ht="16.5" customHeight="1">
      <c r="A2175" s="1631"/>
      <c r="B2175" s="1653"/>
      <c r="C2175" s="3418" t="s">
        <v>902</v>
      </c>
      <c r="D2175" s="3419" t="s">
        <v>901</v>
      </c>
      <c r="E2175" s="3417">
        <v>595</v>
      </c>
      <c r="F2175" s="3409">
        <v>595</v>
      </c>
      <c r="G2175" s="3376">
        <v>1530</v>
      </c>
      <c r="H2175" s="3410">
        <f t="shared" si="142"/>
        <v>2.5714285714285716</v>
      </c>
      <c r="J2175" s="1370"/>
    </row>
    <row r="2176" spans="1:10" s="1622" customFormat="1" ht="16.5" customHeight="1">
      <c r="A2176" s="1631"/>
      <c r="B2176" s="1653"/>
      <c r="C2176" s="3418" t="s">
        <v>903</v>
      </c>
      <c r="D2176" s="3419" t="s">
        <v>901</v>
      </c>
      <c r="E2176" s="3417">
        <v>105</v>
      </c>
      <c r="F2176" s="3409">
        <v>105</v>
      </c>
      <c r="G2176" s="3376">
        <v>270</v>
      </c>
      <c r="H2176" s="3410">
        <f t="shared" si="142"/>
        <v>2.5714285714285716</v>
      </c>
      <c r="J2176" s="1370"/>
    </row>
    <row r="2177" spans="1:10" s="1622" customFormat="1" ht="16.5" hidden="1" customHeight="1">
      <c r="A2177" s="1631"/>
      <c r="B2177" s="1653"/>
      <c r="C2177" s="3418" t="s">
        <v>785</v>
      </c>
      <c r="D2177" s="3419" t="s">
        <v>722</v>
      </c>
      <c r="E2177" s="3417">
        <v>0</v>
      </c>
      <c r="F2177" s="3409"/>
      <c r="G2177" s="3145"/>
      <c r="H2177" s="3410" t="e">
        <f t="shared" si="142"/>
        <v>#DIV/0!</v>
      </c>
      <c r="J2177" s="1370"/>
    </row>
    <row r="2178" spans="1:10" s="1622" customFormat="1" ht="16.5" hidden="1" customHeight="1">
      <c r="A2178" s="1631"/>
      <c r="B2178" s="1653"/>
      <c r="C2178" s="3418" t="s">
        <v>786</v>
      </c>
      <c r="D2178" s="3419" t="s">
        <v>722</v>
      </c>
      <c r="E2178" s="3417">
        <v>0</v>
      </c>
      <c r="F2178" s="3409"/>
      <c r="G2178" s="3145"/>
      <c r="H2178" s="3410" t="e">
        <f t="shared" si="142"/>
        <v>#DIV/0!</v>
      </c>
      <c r="J2178" s="1370"/>
    </row>
    <row r="2179" spans="1:10" s="1622" customFormat="1" ht="24" customHeight="1">
      <c r="A2179" s="1631"/>
      <c r="B2179" s="1653"/>
      <c r="C2179" s="3418" t="s">
        <v>1007</v>
      </c>
      <c r="D2179" s="3419" t="s">
        <v>724</v>
      </c>
      <c r="E2179" s="3417">
        <v>0</v>
      </c>
      <c r="F2179" s="3409">
        <v>0</v>
      </c>
      <c r="G2179" s="3145">
        <v>61200</v>
      </c>
      <c r="H2179" s="3410"/>
      <c r="J2179" s="1370"/>
    </row>
    <row r="2180" spans="1:10" s="1622" customFormat="1" ht="24.75" customHeight="1">
      <c r="A2180" s="1631"/>
      <c r="B2180" s="1653"/>
      <c r="C2180" s="3418" t="s">
        <v>1008</v>
      </c>
      <c r="D2180" s="3419" t="s">
        <v>724</v>
      </c>
      <c r="E2180" s="3417">
        <v>0</v>
      </c>
      <c r="F2180" s="3409">
        <v>0</v>
      </c>
      <c r="G2180" s="3145">
        <v>10800</v>
      </c>
      <c r="H2180" s="3410"/>
      <c r="J2180" s="1370"/>
    </row>
    <row r="2181" spans="1:10" s="1622" customFormat="1" ht="17.100000000000001" customHeight="1">
      <c r="A2181" s="1631"/>
      <c r="B2181" s="1653"/>
      <c r="C2181" s="3418" t="s">
        <v>787</v>
      </c>
      <c r="D2181" s="3419" t="s">
        <v>726</v>
      </c>
      <c r="E2181" s="3417">
        <v>47470</v>
      </c>
      <c r="F2181" s="3409">
        <v>47470</v>
      </c>
      <c r="G2181" s="3376">
        <f>40800+12642</f>
        <v>53442</v>
      </c>
      <c r="H2181" s="3410">
        <f t="shared" si="142"/>
        <v>1.1258057720665684</v>
      </c>
      <c r="J2181" s="1370"/>
    </row>
    <row r="2182" spans="1:10" s="1622" customFormat="1" ht="17.100000000000001" customHeight="1">
      <c r="A2182" s="1631"/>
      <c r="B2182" s="1653"/>
      <c r="C2182" s="3418" t="s">
        <v>788</v>
      </c>
      <c r="D2182" s="3419" t="s">
        <v>726</v>
      </c>
      <c r="E2182" s="3417">
        <v>8530</v>
      </c>
      <c r="F2182" s="3409">
        <v>8530</v>
      </c>
      <c r="G2182" s="3376">
        <f>7200+2358</f>
        <v>9558</v>
      </c>
      <c r="H2182" s="3410">
        <f t="shared" si="142"/>
        <v>1.1205158264947246</v>
      </c>
      <c r="J2182" s="1370"/>
    </row>
    <row r="2183" spans="1:10" s="1622" customFormat="1" ht="17.100000000000001" customHeight="1">
      <c r="A2183" s="1631"/>
      <c r="B2183" s="1653"/>
      <c r="C2183" s="3418" t="s">
        <v>789</v>
      </c>
      <c r="D2183" s="3420" t="s">
        <v>728</v>
      </c>
      <c r="E2183" s="3417">
        <v>47470</v>
      </c>
      <c r="F2183" s="3409">
        <v>0</v>
      </c>
      <c r="G2183" s="3376">
        <f>8075+2107</f>
        <v>10182</v>
      </c>
      <c r="H2183" s="3410"/>
      <c r="J2183" s="1370"/>
    </row>
    <row r="2184" spans="1:10" s="1622" customFormat="1" ht="17.100000000000001" customHeight="1">
      <c r="A2184" s="1631"/>
      <c r="B2184" s="1653"/>
      <c r="C2184" s="3418" t="s">
        <v>790</v>
      </c>
      <c r="D2184" s="3420" t="s">
        <v>728</v>
      </c>
      <c r="E2184" s="3417">
        <v>8530</v>
      </c>
      <c r="F2184" s="3409">
        <v>0</v>
      </c>
      <c r="G2184" s="3376">
        <f>1425+393</f>
        <v>1818</v>
      </c>
      <c r="H2184" s="3410"/>
      <c r="J2184" s="1370"/>
    </row>
    <row r="2185" spans="1:10" s="1622" customFormat="1" ht="17.100000000000001" hidden="1" customHeight="1">
      <c r="A2185" s="1631"/>
      <c r="B2185" s="1653"/>
      <c r="C2185" s="3418" t="s">
        <v>1009</v>
      </c>
      <c r="D2185" s="3419" t="s">
        <v>736</v>
      </c>
      <c r="E2185" s="3417">
        <v>0</v>
      </c>
      <c r="F2185" s="3409"/>
      <c r="G2185" s="3145">
        <v>0</v>
      </c>
      <c r="H2185" s="3410" t="e">
        <f t="shared" si="142"/>
        <v>#DIV/0!</v>
      </c>
      <c r="J2185" s="1370"/>
    </row>
    <row r="2186" spans="1:10" s="1622" customFormat="1" ht="17.100000000000001" hidden="1" customHeight="1">
      <c r="A2186" s="1631"/>
      <c r="B2186" s="1653"/>
      <c r="C2186" s="3418" t="s">
        <v>1010</v>
      </c>
      <c r="D2186" s="3419" t="s">
        <v>736</v>
      </c>
      <c r="E2186" s="3417">
        <v>0</v>
      </c>
      <c r="F2186" s="3409"/>
      <c r="G2186" s="3145">
        <v>0</v>
      </c>
      <c r="H2186" s="3410" t="e">
        <f t="shared" si="142"/>
        <v>#DIV/0!</v>
      </c>
      <c r="J2186" s="1370"/>
    </row>
    <row r="2187" spans="1:10" s="1622" customFormat="1" ht="17.100000000000001" customHeight="1">
      <c r="A2187" s="1653"/>
      <c r="B2187" s="1653"/>
      <c r="C2187" s="3421" t="s">
        <v>1011</v>
      </c>
      <c r="D2187" s="3422" t="s">
        <v>816</v>
      </c>
      <c r="E2187" s="3417">
        <v>5936</v>
      </c>
      <c r="F2187" s="3423">
        <v>5936</v>
      </c>
      <c r="G2187" s="3376">
        <f>4250+843</f>
        <v>5093</v>
      </c>
      <c r="H2187" s="3424">
        <f t="shared" si="142"/>
        <v>0.85798517520215634</v>
      </c>
      <c r="J2187" s="1370"/>
    </row>
    <row r="2188" spans="1:10" s="1622" customFormat="1" ht="17.100000000000001" customHeight="1">
      <c r="A2188" s="1631"/>
      <c r="B2188" s="1653"/>
      <c r="C2188" s="2471" t="s">
        <v>1012</v>
      </c>
      <c r="D2188" s="2458" t="s">
        <v>816</v>
      </c>
      <c r="E2188" s="2644">
        <v>1064</v>
      </c>
      <c r="F2188" s="1859">
        <v>1064</v>
      </c>
      <c r="G2188" s="3376">
        <f>750+157</f>
        <v>907</v>
      </c>
      <c r="H2188" s="1659">
        <f t="shared" si="142"/>
        <v>0.85244360902255634</v>
      </c>
      <c r="J2188" s="1370"/>
    </row>
    <row r="2189" spans="1:10" s="1622" customFormat="1" ht="19.5" customHeight="1">
      <c r="A2189" s="1631"/>
      <c r="B2189" s="1653"/>
      <c r="C2189" s="3418" t="s">
        <v>793</v>
      </c>
      <c r="D2189" s="3419" t="s">
        <v>740</v>
      </c>
      <c r="E2189" s="3417">
        <v>173483</v>
      </c>
      <c r="F2189" s="3409">
        <v>173483</v>
      </c>
      <c r="G2189" s="3376">
        <f>110500+35398</f>
        <v>145898</v>
      </c>
      <c r="H2189" s="3410">
        <f t="shared" si="142"/>
        <v>0.84099306560296971</v>
      </c>
      <c r="J2189" s="1370"/>
    </row>
    <row r="2190" spans="1:10" s="1622" customFormat="1" ht="16.5" customHeight="1">
      <c r="A2190" s="1631"/>
      <c r="B2190" s="1653"/>
      <c r="C2190" s="3425" t="s">
        <v>794</v>
      </c>
      <c r="D2190" s="3426" t="s">
        <v>740</v>
      </c>
      <c r="E2190" s="3417">
        <v>31017</v>
      </c>
      <c r="F2190" s="3409">
        <v>31017</v>
      </c>
      <c r="G2190" s="3376">
        <f>19500+6602</f>
        <v>26102</v>
      </c>
      <c r="H2190" s="3410">
        <f t="shared" si="142"/>
        <v>0.84153851113905276</v>
      </c>
      <c r="J2190" s="1370"/>
    </row>
    <row r="2191" spans="1:10" s="1622" customFormat="1" ht="17.100000000000001" customHeight="1">
      <c r="A2191" s="1631"/>
      <c r="B2191" s="1631"/>
      <c r="C2191" s="3427" t="s">
        <v>795</v>
      </c>
      <c r="D2191" s="3393" t="s">
        <v>703</v>
      </c>
      <c r="E2191" s="3417">
        <v>48534</v>
      </c>
      <c r="F2191" s="3409">
        <v>48534</v>
      </c>
      <c r="G2191" s="3376">
        <f>53835+13587</f>
        <v>67422</v>
      </c>
      <c r="H2191" s="3410">
        <f t="shared" si="142"/>
        <v>1.3891704784274941</v>
      </c>
      <c r="J2191" s="1370"/>
    </row>
    <row r="2192" spans="1:10" s="1622" customFormat="1" ht="17.100000000000001" customHeight="1">
      <c r="A2192" s="1631"/>
      <c r="B2192" s="1631"/>
      <c r="C2192" s="3427" t="s">
        <v>796</v>
      </c>
      <c r="D2192" s="3393" t="s">
        <v>703</v>
      </c>
      <c r="E2192" s="3417">
        <v>8655</v>
      </c>
      <c r="F2192" s="3409">
        <v>8655</v>
      </c>
      <c r="G2192" s="3376">
        <f>9500+2534</f>
        <v>12034</v>
      </c>
      <c r="H2192" s="3410">
        <f t="shared" si="142"/>
        <v>1.3904101675332179</v>
      </c>
      <c r="J2192" s="1370"/>
    </row>
    <row r="2193" spans="1:10" s="1622" customFormat="1" ht="15.75" customHeight="1">
      <c r="A2193" s="1653"/>
      <c r="B2193" s="1653"/>
      <c r="C2193" s="2485"/>
      <c r="D2193" s="2521"/>
      <c r="E2193" s="3417"/>
      <c r="F2193" s="3409"/>
      <c r="G2193" s="3145"/>
      <c r="H2193" s="3410"/>
      <c r="J2193" s="1370"/>
    </row>
    <row r="2194" spans="1:10" s="1622" customFormat="1" ht="17.100000000000001" customHeight="1">
      <c r="A2194" s="1631"/>
      <c r="B2194" s="1653"/>
      <c r="C2194" s="4442" t="s">
        <v>744</v>
      </c>
      <c r="D2194" s="4442"/>
      <c r="E2194" s="3428">
        <f>SUM(E2195)</f>
        <v>198000</v>
      </c>
      <c r="F2194" s="3429">
        <f>SUM(F2195)</f>
        <v>198000</v>
      </c>
      <c r="G2194" s="3430">
        <f>SUM(G2195)</f>
        <v>417800</v>
      </c>
      <c r="H2194" s="3431">
        <f t="shared" ref="H2194:H2212" si="143">G2194/F2194</f>
        <v>2.11010101010101</v>
      </c>
      <c r="J2194" s="1370"/>
    </row>
    <row r="2195" spans="1:10" s="1622" customFormat="1" ht="17.100000000000001" customHeight="1">
      <c r="A2195" s="1631"/>
      <c r="B2195" s="1653"/>
      <c r="C2195" s="4502" t="s">
        <v>745</v>
      </c>
      <c r="D2195" s="4502"/>
      <c r="E2195" s="3417">
        <f>SUM(E2196:E2197)</f>
        <v>198000</v>
      </c>
      <c r="F2195" s="3432">
        <f>SUM(F2196:F2197)</f>
        <v>198000</v>
      </c>
      <c r="G2195" s="3373">
        <f>SUM(G2196:G2197)</f>
        <v>417800</v>
      </c>
      <c r="H2195" s="3410">
        <f t="shared" si="143"/>
        <v>2.11010101010101</v>
      </c>
      <c r="J2195" s="1370"/>
    </row>
    <row r="2196" spans="1:10" s="1622" customFormat="1" ht="17.100000000000001" customHeight="1">
      <c r="A2196" s="1631"/>
      <c r="B2196" s="1653"/>
      <c r="C2196" s="3418" t="s">
        <v>755</v>
      </c>
      <c r="D2196" s="3419" t="s">
        <v>747</v>
      </c>
      <c r="E2196" s="3417">
        <v>150000</v>
      </c>
      <c r="F2196" s="3409">
        <v>0</v>
      </c>
      <c r="G2196" s="3145">
        <v>227800</v>
      </c>
      <c r="H2196" s="3410"/>
      <c r="J2196" s="1370"/>
    </row>
    <row r="2197" spans="1:10" s="1622" customFormat="1" ht="15" customHeight="1" thickBot="1">
      <c r="A2197" s="1631"/>
      <c r="B2197" s="1653"/>
      <c r="C2197" s="3418" t="s">
        <v>746</v>
      </c>
      <c r="D2197" s="3419" t="s">
        <v>801</v>
      </c>
      <c r="E2197" s="3417">
        <v>48000</v>
      </c>
      <c r="F2197" s="3409">
        <v>198000</v>
      </c>
      <c r="G2197" s="3433">
        <v>190000</v>
      </c>
      <c r="H2197" s="3410">
        <f t="shared" si="143"/>
        <v>0.95959595959595956</v>
      </c>
      <c r="J2197" s="1370"/>
    </row>
    <row r="2198" spans="1:10" s="1622" customFormat="1" ht="17.100000000000001" hidden="1" customHeight="1" thickBot="1">
      <c r="A2198" s="1631"/>
      <c r="B2198" s="1653"/>
      <c r="C2198" s="3418" t="s">
        <v>871</v>
      </c>
      <c r="D2198" s="3419" t="s">
        <v>801</v>
      </c>
      <c r="E2198" s="3417">
        <v>0</v>
      </c>
      <c r="F2198" s="3409"/>
      <c r="G2198" s="3145"/>
      <c r="H2198" s="3410" t="e">
        <f t="shared" si="143"/>
        <v>#DIV/0!</v>
      </c>
      <c r="J2198" s="1370"/>
    </row>
    <row r="2199" spans="1:10" s="1622" customFormat="1" ht="17.100000000000001" hidden="1" customHeight="1" thickBot="1">
      <c r="A2199" s="1631"/>
      <c r="B2199" s="1653"/>
      <c r="C2199" s="3418" t="s">
        <v>853</v>
      </c>
      <c r="D2199" s="3419" t="s">
        <v>801</v>
      </c>
      <c r="E2199" s="3417">
        <v>0</v>
      </c>
      <c r="F2199" s="3409"/>
      <c r="G2199" s="3433"/>
      <c r="H2199" s="3410" t="e">
        <f t="shared" si="143"/>
        <v>#DIV/0!</v>
      </c>
      <c r="J2199" s="1370"/>
    </row>
    <row r="2200" spans="1:10" s="1622" customFormat="1" ht="15" hidden="1" customHeight="1" thickBot="1">
      <c r="A2200" s="1631"/>
      <c r="B2200" s="1653"/>
      <c r="C2200" s="1865"/>
      <c r="D2200" s="3434"/>
      <c r="E2200" s="3417"/>
      <c r="F2200" s="3409"/>
      <c r="G2200" s="3145"/>
      <c r="H2200" s="3410" t="e">
        <f t="shared" si="143"/>
        <v>#DIV/0!</v>
      </c>
      <c r="J2200" s="1370"/>
    </row>
    <row r="2201" spans="1:10" s="1622" customFormat="1" ht="20.25" hidden="1" customHeight="1" thickBot="1">
      <c r="A2201" s="1631"/>
      <c r="B2201" s="1653"/>
      <c r="C2201" s="4501" t="s">
        <v>758</v>
      </c>
      <c r="D2201" s="4536"/>
      <c r="E2201" s="3417">
        <v>0</v>
      </c>
      <c r="F2201" s="3409"/>
      <c r="G2201" s="3145"/>
      <c r="H2201" s="3410" t="e">
        <f t="shared" si="143"/>
        <v>#DIV/0!</v>
      </c>
      <c r="J2201" s="1370"/>
    </row>
    <row r="2202" spans="1:10" s="1622" customFormat="1" ht="17.100000000000001" hidden="1" customHeight="1" thickBot="1">
      <c r="A2202" s="1631"/>
      <c r="B2202" s="1653"/>
      <c r="C2202" s="3435" t="s">
        <v>871</v>
      </c>
      <c r="D2202" s="3436" t="s">
        <v>801</v>
      </c>
      <c r="E2202" s="3417">
        <v>0</v>
      </c>
      <c r="F2202" s="3409"/>
      <c r="G2202" s="3433"/>
      <c r="H2202" s="3410" t="e">
        <f t="shared" si="143"/>
        <v>#DIV/0!</v>
      </c>
      <c r="J2202" s="1370"/>
    </row>
    <row r="2203" spans="1:10" s="1622" customFormat="1" ht="17.100000000000001" hidden="1" customHeight="1" thickBot="1">
      <c r="A2203" s="1631"/>
      <c r="B2203" s="1653"/>
      <c r="C2203" s="2510" t="s">
        <v>853</v>
      </c>
      <c r="D2203" s="3191" t="s">
        <v>801</v>
      </c>
      <c r="E2203" s="3417">
        <v>0</v>
      </c>
      <c r="F2203" s="3409"/>
      <c r="G2203" s="3145"/>
      <c r="H2203" s="3437" t="e">
        <f t="shared" si="143"/>
        <v>#DIV/0!</v>
      </c>
      <c r="J2203" s="1370"/>
    </row>
    <row r="2204" spans="1:10" s="1622" customFormat="1" ht="17.100000000000001" customHeight="1" thickBot="1">
      <c r="A2204" s="1631"/>
      <c r="B2204" s="1624" t="s">
        <v>1241</v>
      </c>
      <c r="C2204" s="1625"/>
      <c r="D2204" s="1626" t="s">
        <v>312</v>
      </c>
      <c r="E2204" s="1627">
        <f>SUM(E2205,E2234)</f>
        <v>5967981</v>
      </c>
      <c r="F2204" s="1628">
        <f>SUM(F2205,F2234)</f>
        <v>15239018</v>
      </c>
      <c r="G2204" s="1629">
        <f>SUM(G2205,G2234)</f>
        <v>2444093</v>
      </c>
      <c r="H2204" s="1630">
        <f t="shared" si="143"/>
        <v>0.16038389087800803</v>
      </c>
      <c r="J2204" s="1370"/>
    </row>
    <row r="2205" spans="1:10" s="1622" customFormat="1" ht="17.100000000000001" customHeight="1">
      <c r="A2205" s="1631"/>
      <c r="B2205" s="4537"/>
      <c r="C2205" s="4426" t="s">
        <v>688</v>
      </c>
      <c r="D2205" s="4426"/>
      <c r="E2205" s="2506">
        <f>SUM(E2206,E2214)</f>
        <v>5965475</v>
      </c>
      <c r="F2205" s="1634">
        <f>SUM(F2206,F2214)</f>
        <v>15237753</v>
      </c>
      <c r="G2205" s="2507">
        <f>SUM(G2206,G2214)</f>
        <v>2444093</v>
      </c>
      <c r="H2205" s="1636">
        <f t="shared" si="143"/>
        <v>0.1603972055459883</v>
      </c>
      <c r="J2205" s="1370"/>
    </row>
    <row r="2206" spans="1:10" s="1622" customFormat="1" ht="17.100000000000001" customHeight="1">
      <c r="A2206" s="1631"/>
      <c r="B2206" s="4416"/>
      <c r="C2206" s="4538" t="s">
        <v>797</v>
      </c>
      <c r="D2206" s="4538"/>
      <c r="E2206" s="3274">
        <f>SUM(E2207:E2212)</f>
        <v>5913991</v>
      </c>
      <c r="F2206" s="3438">
        <f>SUM(F2207:F2212)</f>
        <v>15168098</v>
      </c>
      <c r="G2206" s="3439">
        <f>SUM(G2207:G2212)</f>
        <v>2444093</v>
      </c>
      <c r="H2206" s="3410">
        <f t="shared" si="143"/>
        <v>0.16113378223162853</v>
      </c>
      <c r="J2206" s="1370"/>
    </row>
    <row r="2207" spans="1:10" s="1622" customFormat="1" ht="62.25" customHeight="1">
      <c r="A2207" s="1631"/>
      <c r="B2207" s="4416"/>
      <c r="C2207" s="3392" t="s">
        <v>623</v>
      </c>
      <c r="D2207" s="3393" t="s">
        <v>822</v>
      </c>
      <c r="E2207" s="3440">
        <v>5285430</v>
      </c>
      <c r="F2207" s="3409">
        <v>14448378</v>
      </c>
      <c r="G2207" s="3145">
        <v>2417975</v>
      </c>
      <c r="H2207" s="3410">
        <f t="shared" si="143"/>
        <v>0.16735269522987287</v>
      </c>
      <c r="J2207" s="1370" t="s">
        <v>823</v>
      </c>
    </row>
    <row r="2208" spans="1:10" s="1622" customFormat="1" ht="52.5" customHeight="1">
      <c r="A2208" s="1631"/>
      <c r="B2208" s="4416"/>
      <c r="C2208" s="3392" t="s">
        <v>448</v>
      </c>
      <c r="D2208" s="3441" t="s">
        <v>764</v>
      </c>
      <c r="E2208" s="3440">
        <v>628561</v>
      </c>
      <c r="F2208" s="3409">
        <v>629826</v>
      </c>
      <c r="G2208" s="3145">
        <v>26118</v>
      </c>
      <c r="H2208" s="3410">
        <f t="shared" si="143"/>
        <v>4.1468596088443478E-2</v>
      </c>
      <c r="J2208" s="1370" t="s">
        <v>823</v>
      </c>
    </row>
    <row r="2209" spans="1:10" s="1622" customFormat="1" ht="45" customHeight="1">
      <c r="A2209" s="1631"/>
      <c r="B2209" s="1671"/>
      <c r="C2209" s="3442" t="s">
        <v>353</v>
      </c>
      <c r="D2209" s="3443" t="s">
        <v>932</v>
      </c>
      <c r="E2209" s="3444">
        <v>0</v>
      </c>
      <c r="F2209" s="3409">
        <v>14134</v>
      </c>
      <c r="G2209" s="3145">
        <v>0</v>
      </c>
      <c r="H2209" s="3410">
        <f t="shared" si="143"/>
        <v>0</v>
      </c>
      <c r="J2209" s="1370"/>
    </row>
    <row r="2210" spans="1:10" s="1622" customFormat="1" ht="52.5" customHeight="1">
      <c r="A2210" s="1631"/>
      <c r="B2210" s="1671"/>
      <c r="C2210" s="3415" t="s">
        <v>628</v>
      </c>
      <c r="D2210" s="3445" t="s">
        <v>765</v>
      </c>
      <c r="E2210" s="3440">
        <v>0</v>
      </c>
      <c r="F2210" s="3409">
        <v>1772</v>
      </c>
      <c r="G2210" s="3145">
        <v>0</v>
      </c>
      <c r="H2210" s="3410">
        <f t="shared" si="143"/>
        <v>0</v>
      </c>
      <c r="J2210" s="1370"/>
    </row>
    <row r="2211" spans="1:10" s="1622" customFormat="1" ht="51" customHeight="1">
      <c r="A2211" s="1653"/>
      <c r="B2211" s="1671"/>
      <c r="C2211" s="2471" t="s">
        <v>564</v>
      </c>
      <c r="D2211" s="3247" t="s">
        <v>765</v>
      </c>
      <c r="E2211" s="2459">
        <v>0</v>
      </c>
      <c r="F2211" s="1859">
        <v>2369</v>
      </c>
      <c r="G2211" s="2558">
        <v>0</v>
      </c>
      <c r="H2211" s="1659">
        <f t="shared" si="143"/>
        <v>0</v>
      </c>
      <c r="J2211" s="1370"/>
    </row>
    <row r="2212" spans="1:10" s="1622" customFormat="1" ht="19.5" customHeight="1">
      <c r="A2212" s="1631"/>
      <c r="B2212" s="1671"/>
      <c r="C2212" s="3392" t="s">
        <v>565</v>
      </c>
      <c r="D2212" s="3441" t="s">
        <v>825</v>
      </c>
      <c r="E2212" s="3440">
        <v>0</v>
      </c>
      <c r="F2212" s="3409">
        <v>71619</v>
      </c>
      <c r="G2212" s="3145">
        <v>0</v>
      </c>
      <c r="H2212" s="3410">
        <f t="shared" si="143"/>
        <v>0</v>
      </c>
      <c r="J2212" s="1370"/>
    </row>
    <row r="2213" spans="1:10" s="1622" customFormat="1" ht="15" customHeight="1">
      <c r="A2213" s="1653"/>
      <c r="B2213" s="1671"/>
      <c r="C2213" s="3442"/>
      <c r="D2213" s="3445"/>
      <c r="E2213" s="3440"/>
      <c r="F2213" s="3409"/>
      <c r="G2213" s="3145"/>
      <c r="H2213" s="3410"/>
      <c r="J2213" s="1370"/>
    </row>
    <row r="2214" spans="1:10" s="1622" customFormat="1" ht="16.5" customHeight="1">
      <c r="A2214" s="1631"/>
      <c r="B2214" s="1671"/>
      <c r="C2214" s="4530" t="s">
        <v>761</v>
      </c>
      <c r="D2214" s="4530"/>
      <c r="E2214" s="2423">
        <f>SUM(E2215:E2232)</f>
        <v>51484</v>
      </c>
      <c r="F2214" s="3132">
        <f>SUM(F2215:F2232)</f>
        <v>69655</v>
      </c>
      <c r="G2214" s="3133">
        <f>SUM(G2215:G2232)</f>
        <v>0</v>
      </c>
      <c r="H2214" s="1659">
        <f t="shared" ref="H2214:H2232" si="144">G2214/F2214</f>
        <v>0</v>
      </c>
      <c r="J2214" s="1370"/>
    </row>
    <row r="2215" spans="1:10" s="1622" customFormat="1" ht="16.5" customHeight="1">
      <c r="A2215" s="1631"/>
      <c r="B2215" s="1671"/>
      <c r="C2215" s="3418" t="s">
        <v>827</v>
      </c>
      <c r="D2215" s="3446" t="s">
        <v>693</v>
      </c>
      <c r="E2215" s="3440">
        <v>31080</v>
      </c>
      <c r="F2215" s="3409">
        <v>43605</v>
      </c>
      <c r="G2215" s="3433">
        <v>0</v>
      </c>
      <c r="H2215" s="3410">
        <f t="shared" si="144"/>
        <v>0</v>
      </c>
      <c r="J2215" s="1370"/>
    </row>
    <row r="2216" spans="1:10" s="1622" customFormat="1" ht="16.5" customHeight="1">
      <c r="A2216" s="1631"/>
      <c r="B2216" s="1671"/>
      <c r="C2216" s="3418" t="s">
        <v>767</v>
      </c>
      <c r="D2216" s="2447" t="s">
        <v>693</v>
      </c>
      <c r="E2216" s="3440">
        <v>5798</v>
      </c>
      <c r="F2216" s="3409">
        <v>8133</v>
      </c>
      <c r="G2216" s="3433">
        <v>0</v>
      </c>
      <c r="H2216" s="3410">
        <f t="shared" si="144"/>
        <v>0</v>
      </c>
      <c r="J2216" s="1370"/>
    </row>
    <row r="2217" spans="1:10" s="1622" customFormat="1" ht="16.5" customHeight="1">
      <c r="A2217" s="1631"/>
      <c r="B2217" s="1671"/>
      <c r="C2217" s="3447" t="s">
        <v>828</v>
      </c>
      <c r="D2217" s="3448" t="s">
        <v>695</v>
      </c>
      <c r="E2217" s="3440">
        <v>3744</v>
      </c>
      <c r="F2217" s="3409">
        <v>3744</v>
      </c>
      <c r="G2217" s="3433">
        <v>0</v>
      </c>
      <c r="H2217" s="3410">
        <f t="shared" si="144"/>
        <v>0</v>
      </c>
      <c r="J2217" s="1370"/>
    </row>
    <row r="2218" spans="1:10" s="1622" customFormat="1" ht="16.5" customHeight="1">
      <c r="A2218" s="1631"/>
      <c r="B2218" s="1671"/>
      <c r="C2218" s="3285" t="s">
        <v>769</v>
      </c>
      <c r="D2218" s="2649" t="s">
        <v>695</v>
      </c>
      <c r="E2218" s="3440">
        <v>699</v>
      </c>
      <c r="F2218" s="3409">
        <v>699</v>
      </c>
      <c r="G2218" s="3145">
        <v>0</v>
      </c>
      <c r="H2218" s="3410">
        <f t="shared" si="144"/>
        <v>0</v>
      </c>
      <c r="J2218" s="1370"/>
    </row>
    <row r="2219" spans="1:10" s="1622" customFormat="1" ht="16.5" customHeight="1" thickBot="1">
      <c r="A2219" s="1673"/>
      <c r="B2219" s="1674"/>
      <c r="C2219" s="3449" t="s">
        <v>829</v>
      </c>
      <c r="D2219" s="3450" t="s">
        <v>697</v>
      </c>
      <c r="E2219" s="3451">
        <v>5921</v>
      </c>
      <c r="F2219" s="1676">
        <v>8136</v>
      </c>
      <c r="G2219" s="3452">
        <v>0</v>
      </c>
      <c r="H2219" s="1678">
        <f t="shared" si="144"/>
        <v>0</v>
      </c>
      <c r="J2219" s="1370"/>
    </row>
    <row r="2220" spans="1:10" s="1622" customFormat="1" ht="16.5" customHeight="1">
      <c r="A2220" s="1623"/>
      <c r="B2220" s="1679"/>
      <c r="C2220" s="3403" t="s">
        <v>771</v>
      </c>
      <c r="D2220" s="3453" t="s">
        <v>697</v>
      </c>
      <c r="E2220" s="3454">
        <v>1104</v>
      </c>
      <c r="F2220" s="2468">
        <v>1518</v>
      </c>
      <c r="G2220" s="2556">
        <v>0</v>
      </c>
      <c r="H2220" s="2470">
        <f t="shared" si="144"/>
        <v>0</v>
      </c>
      <c r="J2220" s="1370"/>
    </row>
    <row r="2221" spans="1:10" s="1622" customFormat="1" ht="16.5" customHeight="1">
      <c r="A2221" s="1631"/>
      <c r="B2221" s="1671"/>
      <c r="C2221" s="3418" t="s">
        <v>830</v>
      </c>
      <c r="D2221" s="3419" t="s">
        <v>699</v>
      </c>
      <c r="E2221" s="3440">
        <v>854</v>
      </c>
      <c r="F2221" s="3409">
        <v>1160</v>
      </c>
      <c r="G2221" s="3145">
        <v>0</v>
      </c>
      <c r="H2221" s="3410">
        <f t="shared" si="144"/>
        <v>0</v>
      </c>
      <c r="J2221" s="1370"/>
    </row>
    <row r="2222" spans="1:10" s="1622" customFormat="1" ht="16.5" customHeight="1">
      <c r="A2222" s="1631"/>
      <c r="B2222" s="1671"/>
      <c r="C2222" s="3418" t="s">
        <v>773</v>
      </c>
      <c r="D2222" s="3419" t="s">
        <v>699</v>
      </c>
      <c r="E2222" s="3440">
        <v>159</v>
      </c>
      <c r="F2222" s="3409">
        <v>216</v>
      </c>
      <c r="G2222" s="3433">
        <v>0</v>
      </c>
      <c r="H2222" s="3410">
        <f t="shared" si="144"/>
        <v>0</v>
      </c>
      <c r="J2222" s="1370"/>
    </row>
    <row r="2223" spans="1:10" s="1622" customFormat="1" ht="16.5" hidden="1" customHeight="1">
      <c r="A2223" s="1631"/>
      <c r="B2223" s="1671"/>
      <c r="C2223" s="3425" t="s">
        <v>832</v>
      </c>
      <c r="D2223" s="3419" t="s">
        <v>831</v>
      </c>
      <c r="E2223" s="3440">
        <v>0</v>
      </c>
      <c r="F2223" s="3409"/>
      <c r="G2223" s="3433"/>
      <c r="H2223" s="3410" t="e">
        <f t="shared" si="144"/>
        <v>#DIV/0!</v>
      </c>
      <c r="J2223" s="1370"/>
    </row>
    <row r="2224" spans="1:10" s="1622" customFormat="1" ht="16.5" hidden="1" customHeight="1">
      <c r="A2224" s="1631"/>
      <c r="B2224" s="1671"/>
      <c r="C2224" s="3418" t="s">
        <v>780</v>
      </c>
      <c r="D2224" s="3419" t="s">
        <v>831</v>
      </c>
      <c r="E2224" s="3440">
        <v>0</v>
      </c>
      <c r="F2224" s="3409"/>
      <c r="G2224" s="3145"/>
      <c r="H2224" s="3410" t="e">
        <f t="shared" si="144"/>
        <v>#DIV/0!</v>
      </c>
      <c r="J2224" s="1370"/>
    </row>
    <row r="2225" spans="1:10" s="1622" customFormat="1" ht="16.5" hidden="1" customHeight="1">
      <c r="A2225" s="1631"/>
      <c r="B2225" s="1671"/>
      <c r="C2225" s="3418" t="s">
        <v>1210</v>
      </c>
      <c r="D2225" s="3419" t="s">
        <v>716</v>
      </c>
      <c r="E2225" s="3440">
        <v>0</v>
      </c>
      <c r="F2225" s="3409"/>
      <c r="G2225" s="3433"/>
      <c r="H2225" s="3410" t="e">
        <f t="shared" si="144"/>
        <v>#DIV/0!</v>
      </c>
      <c r="J2225" s="1370"/>
    </row>
    <row r="2226" spans="1:10" s="1622" customFormat="1" ht="16.5" hidden="1" customHeight="1">
      <c r="A2226" s="1631"/>
      <c r="B2226" s="1671"/>
      <c r="C2226" s="3418" t="s">
        <v>1003</v>
      </c>
      <c r="D2226" s="3419" t="s">
        <v>716</v>
      </c>
      <c r="E2226" s="3440">
        <v>0</v>
      </c>
      <c r="F2226" s="3409"/>
      <c r="G2226" s="3145"/>
      <c r="H2226" s="3410" t="e">
        <f t="shared" si="144"/>
        <v>#DIV/0!</v>
      </c>
      <c r="J2226" s="1370"/>
    </row>
    <row r="2227" spans="1:10" s="1622" customFormat="1" ht="16.5" hidden="1" customHeight="1">
      <c r="A2227" s="1631"/>
      <c r="B2227" s="1671"/>
      <c r="C2227" s="3418" t="s">
        <v>833</v>
      </c>
      <c r="D2227" s="3419" t="s">
        <v>718</v>
      </c>
      <c r="E2227" s="3440">
        <v>0</v>
      </c>
      <c r="F2227" s="3409"/>
      <c r="G2227" s="3145"/>
      <c r="H2227" s="3410" t="e">
        <f t="shared" si="144"/>
        <v>#DIV/0!</v>
      </c>
      <c r="J2227" s="1370"/>
    </row>
    <row r="2228" spans="1:10" s="1622" customFormat="1" ht="16.5" hidden="1" customHeight="1">
      <c r="A2228" s="1631"/>
      <c r="B2228" s="1671"/>
      <c r="C2228" s="3418" t="s">
        <v>784</v>
      </c>
      <c r="D2228" s="3419" t="s">
        <v>718</v>
      </c>
      <c r="E2228" s="3440">
        <v>0</v>
      </c>
      <c r="F2228" s="3409"/>
      <c r="G2228" s="3433"/>
      <c r="H2228" s="3410" t="e">
        <f t="shared" si="144"/>
        <v>#DIV/0!</v>
      </c>
      <c r="J2228" s="1370"/>
    </row>
    <row r="2229" spans="1:10" s="1622" customFormat="1" ht="16.5" customHeight="1">
      <c r="A2229" s="1631"/>
      <c r="B2229" s="1671"/>
      <c r="C2229" s="3418" t="s">
        <v>835</v>
      </c>
      <c r="D2229" s="3419" t="s">
        <v>726</v>
      </c>
      <c r="E2229" s="3440">
        <v>851</v>
      </c>
      <c r="F2229" s="3409">
        <v>774</v>
      </c>
      <c r="G2229" s="3433">
        <v>0</v>
      </c>
      <c r="H2229" s="3410">
        <f t="shared" si="144"/>
        <v>0</v>
      </c>
      <c r="J2229" s="1370"/>
    </row>
    <row r="2230" spans="1:10" s="1622" customFormat="1" ht="16.5" customHeight="1">
      <c r="A2230" s="1631"/>
      <c r="B2230" s="1671"/>
      <c r="C2230" s="3418" t="s">
        <v>788</v>
      </c>
      <c r="D2230" s="3419" t="s">
        <v>726</v>
      </c>
      <c r="E2230" s="3440">
        <v>158</v>
      </c>
      <c r="F2230" s="3409">
        <v>144</v>
      </c>
      <c r="G2230" s="3145">
        <v>0</v>
      </c>
      <c r="H2230" s="3410">
        <f t="shared" si="144"/>
        <v>0</v>
      </c>
      <c r="J2230" s="1370"/>
    </row>
    <row r="2231" spans="1:10" s="1622" customFormat="1" ht="16.5" customHeight="1">
      <c r="A2231" s="1631"/>
      <c r="B2231" s="1671"/>
      <c r="C2231" s="3425" t="s">
        <v>1212</v>
      </c>
      <c r="D2231" s="3426" t="s">
        <v>730</v>
      </c>
      <c r="E2231" s="3440">
        <v>940</v>
      </c>
      <c r="F2231" s="3409">
        <v>1286</v>
      </c>
      <c r="G2231" s="3145">
        <v>0</v>
      </c>
      <c r="H2231" s="3410">
        <f t="shared" si="144"/>
        <v>0</v>
      </c>
      <c r="J2231" s="1370"/>
    </row>
    <row r="2232" spans="1:10" s="1622" customFormat="1" ht="16.5" customHeight="1">
      <c r="A2232" s="1631"/>
      <c r="B2232" s="1671"/>
      <c r="C2232" s="3415" t="s">
        <v>1213</v>
      </c>
      <c r="D2232" s="3426" t="s">
        <v>730</v>
      </c>
      <c r="E2232" s="3440">
        <v>176</v>
      </c>
      <c r="F2232" s="3409">
        <v>240</v>
      </c>
      <c r="G2232" s="3145">
        <v>0</v>
      </c>
      <c r="H2232" s="3410">
        <f t="shared" si="144"/>
        <v>0</v>
      </c>
      <c r="J2232" s="1370"/>
    </row>
    <row r="2233" spans="1:10" s="1622" customFormat="1" ht="13.5" customHeight="1">
      <c r="A2233" s="1631"/>
      <c r="B2233" s="1671"/>
      <c r="C2233" s="4531"/>
      <c r="D2233" s="4532"/>
      <c r="E2233" s="3440"/>
      <c r="F2233" s="3409"/>
      <c r="G2233" s="3145"/>
      <c r="H2233" s="3410"/>
      <c r="J2233" s="1370"/>
    </row>
    <row r="2234" spans="1:10" s="1622" customFormat="1" ht="16.5" customHeight="1">
      <c r="A2234" s="1631"/>
      <c r="B2234" s="1671"/>
      <c r="C2234" s="4442" t="s">
        <v>744</v>
      </c>
      <c r="D2234" s="4442"/>
      <c r="E2234" s="2506">
        <f t="shared" ref="E2234:G2235" si="145">SUM(E2235)</f>
        <v>2506</v>
      </c>
      <c r="F2234" s="1634">
        <f t="shared" si="145"/>
        <v>1265</v>
      </c>
      <c r="G2234" s="2507">
        <f t="shared" si="145"/>
        <v>0</v>
      </c>
      <c r="H2234" s="3431">
        <f t="shared" ref="H2234:H2249" si="146">G2234/F2234</f>
        <v>0</v>
      </c>
      <c r="J2234" s="1370"/>
    </row>
    <row r="2235" spans="1:10" s="1622" customFormat="1" ht="16.5" customHeight="1">
      <c r="A2235" s="1653"/>
      <c r="B2235" s="1671"/>
      <c r="C2235" s="4502" t="s">
        <v>745</v>
      </c>
      <c r="D2235" s="4502"/>
      <c r="E2235" s="3274">
        <f t="shared" si="145"/>
        <v>2506</v>
      </c>
      <c r="F2235" s="3455">
        <f>SUM(F2236:F2237)</f>
        <v>1265</v>
      </c>
      <c r="G2235" s="3455">
        <f>SUM(G2236:G2237)</f>
        <v>0</v>
      </c>
      <c r="H2235" s="3410">
        <f t="shared" si="146"/>
        <v>0</v>
      </c>
      <c r="J2235" s="1370"/>
    </row>
    <row r="2236" spans="1:10" s="1622" customFormat="1" ht="54.75" customHeight="1">
      <c r="A2236" s="1653"/>
      <c r="B2236" s="3456"/>
      <c r="C2236" s="3421" t="s">
        <v>449</v>
      </c>
      <c r="D2236" s="3422" t="s">
        <v>842</v>
      </c>
      <c r="E2236" s="3440">
        <v>2506</v>
      </c>
      <c r="F2236" s="3423">
        <v>1253</v>
      </c>
      <c r="G2236" s="3145">
        <v>0</v>
      </c>
      <c r="H2236" s="3424">
        <f t="shared" si="146"/>
        <v>0</v>
      </c>
      <c r="J2236" s="1370" t="s">
        <v>823</v>
      </c>
    </row>
    <row r="2237" spans="1:10" ht="33" customHeight="1" thickBot="1">
      <c r="A2237" s="1797"/>
      <c r="B2237" s="2292"/>
      <c r="C2237" s="3457" t="s">
        <v>567</v>
      </c>
      <c r="D2237" s="3458" t="s">
        <v>978</v>
      </c>
      <c r="E2237" s="1520">
        <v>0</v>
      </c>
      <c r="F2237" s="1521">
        <v>12</v>
      </c>
      <c r="G2237" s="1522">
        <v>0</v>
      </c>
      <c r="H2237" s="1523">
        <f t="shared" si="146"/>
        <v>0</v>
      </c>
    </row>
    <row r="2238" spans="1:10" ht="17.100000000000001" customHeight="1" thickBot="1">
      <c r="A2238" s="1595" t="s">
        <v>1242</v>
      </c>
      <c r="B2238" s="1596"/>
      <c r="C2238" s="1597"/>
      <c r="D2238" s="1598" t="s">
        <v>1243</v>
      </c>
      <c r="E2238" s="1599">
        <f>SUM(E2239,E2262,E2286,E2315)</f>
        <v>6764367</v>
      </c>
      <c r="F2238" s="1600">
        <f>SUM(F2239,F2262,F2286,F2315)</f>
        <v>6954975</v>
      </c>
      <c r="G2238" s="1601">
        <f>SUM(G2239,G2262,G2286,G2315)</f>
        <v>2119245</v>
      </c>
      <c r="H2238" s="1602">
        <f t="shared" si="146"/>
        <v>0.30470921894039876</v>
      </c>
    </row>
    <row r="2239" spans="1:10" ht="17.100000000000001" customHeight="1" thickBot="1">
      <c r="A2239" s="1556"/>
      <c r="B2239" s="1500" t="s">
        <v>1244</v>
      </c>
      <c r="C2239" s="1501"/>
      <c r="D2239" s="1502" t="s">
        <v>636</v>
      </c>
      <c r="E2239" s="1503">
        <f>SUM(E2240)</f>
        <v>954429</v>
      </c>
      <c r="F2239" s="1504">
        <f>SUM(F2240)</f>
        <v>954429</v>
      </c>
      <c r="G2239" s="1505">
        <f>SUM(G2240)</f>
        <v>1222611</v>
      </c>
      <c r="H2239" s="1506">
        <f t="shared" si="146"/>
        <v>1.280986851824494</v>
      </c>
    </row>
    <row r="2240" spans="1:10" ht="17.100000000000001" customHeight="1">
      <c r="A2240" s="1556"/>
      <c r="B2240" s="1429"/>
      <c r="C2240" s="4496" t="s">
        <v>688</v>
      </c>
      <c r="D2240" s="4524"/>
      <c r="E2240" s="2946">
        <f>SUM(E2241,E2260)</f>
        <v>954429</v>
      </c>
      <c r="F2240" s="1418">
        <f>SUM(F2241,F2260)</f>
        <v>954429</v>
      </c>
      <c r="G2240" s="2947">
        <f>SUM(G2241,G2260)</f>
        <v>1222611</v>
      </c>
      <c r="H2240" s="1509">
        <f t="shared" si="146"/>
        <v>1.280986851824494</v>
      </c>
    </row>
    <row r="2241" spans="1:8" ht="17.100000000000001" customHeight="1">
      <c r="A2241" s="1556"/>
      <c r="B2241" s="1429"/>
      <c r="C2241" s="4525" t="s">
        <v>689</v>
      </c>
      <c r="D2241" s="4525"/>
      <c r="E2241" s="3459">
        <f>SUM(E2242,E2251)</f>
        <v>950986</v>
      </c>
      <c r="F2241" s="3460">
        <f>SUM(F2242,F2251)</f>
        <v>950986</v>
      </c>
      <c r="G2241" s="3461">
        <f>SUM(G2242,G2251)</f>
        <v>1219168</v>
      </c>
      <c r="H2241" s="3462">
        <f t="shared" si="146"/>
        <v>1.2820041514806737</v>
      </c>
    </row>
    <row r="2242" spans="1:8" ht="17.100000000000001" customHeight="1">
      <c r="A2242" s="1556"/>
      <c r="B2242" s="1429"/>
      <c r="C2242" s="4385" t="s">
        <v>690</v>
      </c>
      <c r="D2242" s="4385"/>
      <c r="E2242" s="3463">
        <f>SUM(E2243:E2249)</f>
        <v>845580</v>
      </c>
      <c r="F2242" s="3464">
        <f>SUM(F2243:F2249)</f>
        <v>845580</v>
      </c>
      <c r="G2242" s="3465">
        <f>SUM(G2243:G2249)</f>
        <v>1096176</v>
      </c>
      <c r="H2242" s="3466">
        <f t="shared" si="146"/>
        <v>1.296359894983325</v>
      </c>
    </row>
    <row r="2243" spans="1:8" ht="17.100000000000001" customHeight="1">
      <c r="A2243" s="1556"/>
      <c r="B2243" s="1429"/>
      <c r="C2243" s="3467" t="s">
        <v>692</v>
      </c>
      <c r="D2243" s="3468" t="s">
        <v>693</v>
      </c>
      <c r="E2243" s="3459">
        <v>495767</v>
      </c>
      <c r="F2243" s="3460">
        <v>495767</v>
      </c>
      <c r="G2243" s="3469">
        <v>647383</v>
      </c>
      <c r="H2243" s="3462">
        <f t="shared" si="146"/>
        <v>1.3058210812740663</v>
      </c>
    </row>
    <row r="2244" spans="1:8" ht="17.100000000000001" customHeight="1">
      <c r="A2244" s="1556"/>
      <c r="B2244" s="1429"/>
      <c r="C2244" s="3467" t="s">
        <v>694</v>
      </c>
      <c r="D2244" s="3468" t="s">
        <v>695</v>
      </c>
      <c r="E2244" s="3459">
        <v>36859</v>
      </c>
      <c r="F2244" s="3460">
        <v>36859</v>
      </c>
      <c r="G2244" s="3470">
        <v>40127</v>
      </c>
      <c r="H2244" s="3462">
        <f t="shared" si="146"/>
        <v>1.0886621991915135</v>
      </c>
    </row>
    <row r="2245" spans="1:8" ht="17.100000000000001" customHeight="1">
      <c r="A2245" s="1556"/>
      <c r="B2245" s="1429"/>
      <c r="C2245" s="3467" t="s">
        <v>696</v>
      </c>
      <c r="D2245" s="3468" t="s">
        <v>697</v>
      </c>
      <c r="E2245" s="3459">
        <v>117738</v>
      </c>
      <c r="F2245" s="3460">
        <v>117738</v>
      </c>
      <c r="G2245" s="3469">
        <v>149564</v>
      </c>
      <c r="H2245" s="3462">
        <f t="shared" si="146"/>
        <v>1.2703120487862882</v>
      </c>
    </row>
    <row r="2246" spans="1:8" ht="15.75" customHeight="1">
      <c r="A2246" s="1556"/>
      <c r="B2246" s="1429"/>
      <c r="C2246" s="3467" t="s">
        <v>698</v>
      </c>
      <c r="D2246" s="3468" t="s">
        <v>699</v>
      </c>
      <c r="E2246" s="3459">
        <v>16783</v>
      </c>
      <c r="F2246" s="3460">
        <v>16783</v>
      </c>
      <c r="G2246" s="3469">
        <v>21287</v>
      </c>
      <c r="H2246" s="3462">
        <f t="shared" si="146"/>
        <v>1.2683667997378298</v>
      </c>
    </row>
    <row r="2247" spans="1:8" ht="15.75" customHeight="1">
      <c r="A2247" s="1556"/>
      <c r="B2247" s="1429"/>
      <c r="C2247" s="3467" t="s">
        <v>702</v>
      </c>
      <c r="D2247" s="3471" t="s">
        <v>703</v>
      </c>
      <c r="E2247" s="3459">
        <v>1647</v>
      </c>
      <c r="F2247" s="3460">
        <v>1647</v>
      </c>
      <c r="G2247" s="3469">
        <v>1851</v>
      </c>
      <c r="H2247" s="3462">
        <f t="shared" si="146"/>
        <v>1.1238615664845173</v>
      </c>
    </row>
    <row r="2248" spans="1:8" ht="15.75" customHeight="1">
      <c r="A2248" s="1556"/>
      <c r="B2248" s="1429"/>
      <c r="C2248" s="3467" t="s">
        <v>1110</v>
      </c>
      <c r="D2248" s="3468" t="s">
        <v>1111</v>
      </c>
      <c r="E2248" s="3459">
        <v>162644</v>
      </c>
      <c r="F2248" s="3460">
        <v>162644</v>
      </c>
      <c r="G2248" s="3470">
        <v>222217</v>
      </c>
      <c r="H2248" s="3462">
        <f t="shared" si="146"/>
        <v>1.3662784978234672</v>
      </c>
    </row>
    <row r="2249" spans="1:8" ht="15.75" customHeight="1">
      <c r="A2249" s="1750"/>
      <c r="B2249" s="1429"/>
      <c r="C2249" s="3472" t="s">
        <v>1112</v>
      </c>
      <c r="D2249" s="3473" t="s">
        <v>1113</v>
      </c>
      <c r="E2249" s="3459">
        <v>14142</v>
      </c>
      <c r="F2249" s="3460">
        <v>14142</v>
      </c>
      <c r="G2249" s="3470">
        <v>13747</v>
      </c>
      <c r="H2249" s="3462">
        <f t="shared" si="146"/>
        <v>0.97206901428369397</v>
      </c>
    </row>
    <row r="2250" spans="1:8" ht="16.5" customHeight="1">
      <c r="A2250" s="1750"/>
      <c r="B2250" s="1429"/>
      <c r="C2250" s="2671"/>
      <c r="D2250" s="3043"/>
      <c r="E2250" s="2671"/>
      <c r="F2250" s="1451"/>
      <c r="G2250" s="2617"/>
      <c r="H2250" s="1453"/>
    </row>
    <row r="2251" spans="1:8" ht="17.100000000000001" customHeight="1">
      <c r="A2251" s="1556"/>
      <c r="B2251" s="1429"/>
      <c r="C2251" s="4427" t="s">
        <v>704</v>
      </c>
      <c r="D2251" s="4427"/>
      <c r="E2251" s="2950">
        <f>SUM(E2252:E2257)</f>
        <v>105406</v>
      </c>
      <c r="F2251" s="1578">
        <f>SUM(F2252:F2257)</f>
        <v>105406</v>
      </c>
      <c r="G2251" s="2951">
        <f>SUM(G2252:G2257)</f>
        <v>122992</v>
      </c>
      <c r="H2251" s="3466">
        <f t="shared" ref="H2251:H2258" si="147">G2251/F2251</f>
        <v>1.1668405973094511</v>
      </c>
    </row>
    <row r="2252" spans="1:8" ht="17.100000000000001" customHeight="1">
      <c r="A2252" s="1556"/>
      <c r="B2252" s="1429"/>
      <c r="C2252" s="3467" t="s">
        <v>707</v>
      </c>
      <c r="D2252" s="3468" t="s">
        <v>708</v>
      </c>
      <c r="E2252" s="3459">
        <v>31580</v>
      </c>
      <c r="F2252" s="3460">
        <v>31580</v>
      </c>
      <c r="G2252" s="3470">
        <v>36317</v>
      </c>
      <c r="H2252" s="3462">
        <f t="shared" si="147"/>
        <v>1.1499999999999999</v>
      </c>
    </row>
    <row r="2253" spans="1:8" ht="17.100000000000001" customHeight="1">
      <c r="A2253" s="1556"/>
      <c r="B2253" s="1429"/>
      <c r="C2253" s="3467" t="s">
        <v>711</v>
      </c>
      <c r="D2253" s="3468" t="s">
        <v>712</v>
      </c>
      <c r="E2253" s="3459">
        <v>41931</v>
      </c>
      <c r="F2253" s="3460">
        <v>41931</v>
      </c>
      <c r="G2253" s="3470">
        <v>48220</v>
      </c>
      <c r="H2253" s="3462">
        <f t="shared" si="147"/>
        <v>1.1499844983425151</v>
      </c>
    </row>
    <row r="2254" spans="1:8" ht="17.100000000000001" customHeight="1">
      <c r="A2254" s="1556"/>
      <c r="B2254" s="1429"/>
      <c r="C2254" s="3467" t="s">
        <v>715</v>
      </c>
      <c r="D2254" s="3468" t="s">
        <v>716</v>
      </c>
      <c r="E2254" s="3459">
        <v>1576</v>
      </c>
      <c r="F2254" s="3460">
        <v>1576</v>
      </c>
      <c r="G2254" s="3470">
        <v>1812</v>
      </c>
      <c r="H2254" s="3462">
        <f t="shared" si="147"/>
        <v>1.149746192893401</v>
      </c>
    </row>
    <row r="2255" spans="1:8" ht="17.100000000000001" customHeight="1">
      <c r="A2255" s="1556"/>
      <c r="B2255" s="1429"/>
      <c r="C2255" s="3467" t="s">
        <v>717</v>
      </c>
      <c r="D2255" s="3468" t="s">
        <v>718</v>
      </c>
      <c r="E2255" s="3459">
        <v>6625</v>
      </c>
      <c r="F2255" s="3460">
        <v>6625</v>
      </c>
      <c r="G2255" s="3469">
        <v>7618</v>
      </c>
      <c r="H2255" s="3462">
        <f t="shared" si="147"/>
        <v>1.1498867924528302</v>
      </c>
    </row>
    <row r="2256" spans="1:8" ht="16.5" customHeight="1">
      <c r="A2256" s="1556"/>
      <c r="B2256" s="4473"/>
      <c r="C2256" s="3467" t="s">
        <v>719</v>
      </c>
      <c r="D2256" s="3468" t="s">
        <v>947</v>
      </c>
      <c r="E2256" s="3459">
        <v>620</v>
      </c>
      <c r="F2256" s="3460">
        <v>620</v>
      </c>
      <c r="G2256" s="3469">
        <v>670</v>
      </c>
      <c r="H2256" s="3462">
        <f t="shared" si="147"/>
        <v>1.0806451612903225</v>
      </c>
    </row>
    <row r="2257" spans="1:8" ht="17.100000000000001" customHeight="1">
      <c r="A2257" s="1556"/>
      <c r="B2257" s="4473"/>
      <c r="C2257" s="3474" t="s">
        <v>729</v>
      </c>
      <c r="D2257" s="3475" t="s">
        <v>730</v>
      </c>
      <c r="E2257" s="3459">
        <v>23074</v>
      </c>
      <c r="F2257" s="3460">
        <v>23074</v>
      </c>
      <c r="G2257" s="3470">
        <v>28355</v>
      </c>
      <c r="H2257" s="3462">
        <f t="shared" si="147"/>
        <v>1.2288723238276849</v>
      </c>
    </row>
    <row r="2258" spans="1:8" ht="17.100000000000001" hidden="1" customHeight="1">
      <c r="A2258" s="1556"/>
      <c r="B2258" s="4473"/>
      <c r="C2258" s="3476" t="s">
        <v>735</v>
      </c>
      <c r="D2258" s="3477" t="s">
        <v>1245</v>
      </c>
      <c r="E2258" s="3459">
        <v>0</v>
      </c>
      <c r="F2258" s="3460"/>
      <c r="G2258" s="3470"/>
      <c r="H2258" s="3462" t="e">
        <f t="shared" si="147"/>
        <v>#DIV/0!</v>
      </c>
    </row>
    <row r="2259" spans="1:8" ht="13.5" customHeight="1">
      <c r="A2259" s="1556"/>
      <c r="B2259" s="4473"/>
      <c r="C2259" s="3478"/>
      <c r="D2259" s="3479"/>
      <c r="E2259" s="3478"/>
      <c r="F2259" s="3460"/>
      <c r="G2259" s="3470"/>
      <c r="H2259" s="3462"/>
    </row>
    <row r="2260" spans="1:8" ht="17.100000000000001" customHeight="1">
      <c r="A2260" s="1556"/>
      <c r="B2260" s="4473"/>
      <c r="C2260" s="4466" t="s">
        <v>741</v>
      </c>
      <c r="D2260" s="4466"/>
      <c r="E2260" s="2954">
        <f>SUM(E2261)</f>
        <v>3443</v>
      </c>
      <c r="F2260" s="1451">
        <f>SUM(F2261)</f>
        <v>3443</v>
      </c>
      <c r="G2260" s="2983">
        <f>SUM(G2261)</f>
        <v>3443</v>
      </c>
      <c r="H2260" s="3462">
        <f t="shared" ref="H2260:H2296" si="148">G2260/F2260</f>
        <v>1</v>
      </c>
    </row>
    <row r="2261" spans="1:8" ht="17.100000000000001" customHeight="1" thickBot="1">
      <c r="A2261" s="1556"/>
      <c r="B2261" s="4473"/>
      <c r="C2261" s="3474" t="s">
        <v>742</v>
      </c>
      <c r="D2261" s="3475" t="s">
        <v>743</v>
      </c>
      <c r="E2261" s="3276">
        <v>3443</v>
      </c>
      <c r="F2261" s="3460">
        <v>3443</v>
      </c>
      <c r="G2261" s="3469">
        <v>3443</v>
      </c>
      <c r="H2261" s="3480">
        <f t="shared" si="148"/>
        <v>1</v>
      </c>
    </row>
    <row r="2262" spans="1:8" ht="17.100000000000001" customHeight="1" thickBot="1">
      <c r="A2262" s="1556"/>
      <c r="B2262" s="1500" t="s">
        <v>1246</v>
      </c>
      <c r="C2262" s="1501"/>
      <c r="D2262" s="1502" t="s">
        <v>1247</v>
      </c>
      <c r="E2262" s="1503">
        <f t="shared" ref="E2262:G2263" si="149">SUM(E2263)</f>
        <v>5152000</v>
      </c>
      <c r="F2262" s="1504">
        <f t="shared" si="149"/>
        <v>4830000</v>
      </c>
      <c r="G2262" s="1505">
        <f t="shared" si="149"/>
        <v>0</v>
      </c>
      <c r="H2262" s="1506">
        <f t="shared" si="148"/>
        <v>0</v>
      </c>
    </row>
    <row r="2263" spans="1:8" ht="17.100000000000001" customHeight="1">
      <c r="A2263" s="1556"/>
      <c r="B2263" s="4357"/>
      <c r="C2263" s="4358" t="s">
        <v>688</v>
      </c>
      <c r="D2263" s="4358"/>
      <c r="E2263" s="2946">
        <f t="shared" si="149"/>
        <v>5152000</v>
      </c>
      <c r="F2263" s="1418">
        <f t="shared" si="149"/>
        <v>4830000</v>
      </c>
      <c r="G2263" s="2947">
        <f t="shared" si="149"/>
        <v>0</v>
      </c>
      <c r="H2263" s="1509">
        <f t="shared" si="148"/>
        <v>0</v>
      </c>
    </row>
    <row r="2264" spans="1:8" ht="17.100000000000001" customHeight="1">
      <c r="A2264" s="1556"/>
      <c r="B2264" s="4357"/>
      <c r="C2264" s="4529" t="s">
        <v>761</v>
      </c>
      <c r="D2264" s="4529"/>
      <c r="E2264" s="3459">
        <f>SUM(E2265:E2285)</f>
        <v>5152000</v>
      </c>
      <c r="F2264" s="3460">
        <f>SUM(F2265:F2285)</f>
        <v>4830000</v>
      </c>
      <c r="G2264" s="3461">
        <f>SUM(G2265:G2285)</f>
        <v>0</v>
      </c>
      <c r="H2264" s="3462">
        <f t="shared" si="148"/>
        <v>0</v>
      </c>
    </row>
    <row r="2265" spans="1:8" ht="15.75" customHeight="1">
      <c r="A2265" s="1556"/>
      <c r="B2265" s="4357"/>
      <c r="C2265" s="3467" t="s">
        <v>1127</v>
      </c>
      <c r="D2265" s="3468" t="s">
        <v>1126</v>
      </c>
      <c r="E2265" s="3459">
        <v>3748500</v>
      </c>
      <c r="F2265" s="3460">
        <v>3510500</v>
      </c>
      <c r="G2265" s="3470">
        <v>0</v>
      </c>
      <c r="H2265" s="3462">
        <f t="shared" si="148"/>
        <v>0</v>
      </c>
    </row>
    <row r="2266" spans="1:8" ht="17.100000000000001" customHeight="1">
      <c r="A2266" s="1556"/>
      <c r="B2266" s="1429"/>
      <c r="C2266" s="3467" t="s">
        <v>1128</v>
      </c>
      <c r="D2266" s="3468" t="s">
        <v>1126</v>
      </c>
      <c r="E2266" s="3459">
        <v>661500</v>
      </c>
      <c r="F2266" s="3460">
        <v>619500</v>
      </c>
      <c r="G2266" s="3469">
        <v>0</v>
      </c>
      <c r="H2266" s="3462">
        <f t="shared" si="148"/>
        <v>0</v>
      </c>
    </row>
    <row r="2267" spans="1:8" ht="17.100000000000001" customHeight="1">
      <c r="A2267" s="1556"/>
      <c r="B2267" s="1429"/>
      <c r="C2267" s="3467" t="s">
        <v>827</v>
      </c>
      <c r="D2267" s="3468" t="s">
        <v>693</v>
      </c>
      <c r="E2267" s="3459">
        <v>455304</v>
      </c>
      <c r="F2267" s="3460">
        <v>442051</v>
      </c>
      <c r="G2267" s="3469">
        <v>0</v>
      </c>
      <c r="H2267" s="3462">
        <f t="shared" si="148"/>
        <v>0</v>
      </c>
    </row>
    <row r="2268" spans="1:8" ht="17.100000000000001" customHeight="1">
      <c r="A2268" s="1556"/>
      <c r="B2268" s="1429"/>
      <c r="C2268" s="3467" t="s">
        <v>767</v>
      </c>
      <c r="D2268" s="3468" t="s">
        <v>693</v>
      </c>
      <c r="E2268" s="3459">
        <v>80342</v>
      </c>
      <c r="F2268" s="3460">
        <v>78009</v>
      </c>
      <c r="G2268" s="3470">
        <v>0</v>
      </c>
      <c r="H2268" s="3462">
        <f t="shared" si="148"/>
        <v>0</v>
      </c>
    </row>
    <row r="2269" spans="1:8" ht="17.100000000000001" customHeight="1">
      <c r="A2269" s="1556"/>
      <c r="B2269" s="1429"/>
      <c r="C2269" s="3467" t="s">
        <v>829</v>
      </c>
      <c r="D2269" s="3468" t="s">
        <v>697</v>
      </c>
      <c r="E2269" s="3459">
        <v>97572</v>
      </c>
      <c r="F2269" s="3460">
        <v>75989</v>
      </c>
      <c r="G2269" s="3470">
        <v>0</v>
      </c>
      <c r="H2269" s="3462">
        <f t="shared" si="148"/>
        <v>0</v>
      </c>
    </row>
    <row r="2270" spans="1:8" ht="17.100000000000001" customHeight="1">
      <c r="A2270" s="1556"/>
      <c r="B2270" s="1429"/>
      <c r="C2270" s="3467" t="s">
        <v>771</v>
      </c>
      <c r="D2270" s="3468" t="s">
        <v>697</v>
      </c>
      <c r="E2270" s="3459">
        <v>17222</v>
      </c>
      <c r="F2270" s="3460">
        <v>13409</v>
      </c>
      <c r="G2270" s="3469">
        <v>0</v>
      </c>
      <c r="H2270" s="3462">
        <f t="shared" si="148"/>
        <v>0</v>
      </c>
    </row>
    <row r="2271" spans="1:8" ht="16.5" customHeight="1">
      <c r="A2271" s="1556"/>
      <c r="B2271" s="1429"/>
      <c r="C2271" s="3467" t="s">
        <v>830</v>
      </c>
      <c r="D2271" s="3468" t="s">
        <v>699</v>
      </c>
      <c r="E2271" s="3459">
        <v>13904</v>
      </c>
      <c r="F2271" s="3460">
        <v>10830</v>
      </c>
      <c r="G2271" s="3470">
        <v>0</v>
      </c>
      <c r="H2271" s="3462">
        <f t="shared" si="148"/>
        <v>0</v>
      </c>
    </row>
    <row r="2272" spans="1:8" ht="16.5" customHeight="1">
      <c r="A2272" s="1556"/>
      <c r="B2272" s="1429"/>
      <c r="C2272" s="3467" t="s">
        <v>773</v>
      </c>
      <c r="D2272" s="3468" t="s">
        <v>699</v>
      </c>
      <c r="E2272" s="3459">
        <v>2456</v>
      </c>
      <c r="F2272" s="3460">
        <v>1911</v>
      </c>
      <c r="G2272" s="3470">
        <v>0</v>
      </c>
      <c r="H2272" s="3462">
        <f t="shared" si="148"/>
        <v>0</v>
      </c>
    </row>
    <row r="2273" spans="1:8" ht="17.100000000000001" hidden="1" customHeight="1">
      <c r="A2273" s="1556"/>
      <c r="B2273" s="1429"/>
      <c r="C2273" s="3467" t="s">
        <v>970</v>
      </c>
      <c r="D2273" s="3468" t="s">
        <v>701</v>
      </c>
      <c r="E2273" s="3459">
        <v>0</v>
      </c>
      <c r="F2273" s="3460"/>
      <c r="G2273" s="3469"/>
      <c r="H2273" s="3462" t="e">
        <f t="shared" si="148"/>
        <v>#DIV/0!</v>
      </c>
    </row>
    <row r="2274" spans="1:8" ht="17.100000000000001" hidden="1" customHeight="1">
      <c r="A2274" s="1556"/>
      <c r="B2274" s="1429"/>
      <c r="C2274" s="3467" t="s">
        <v>775</v>
      </c>
      <c r="D2274" s="3468" t="s">
        <v>701</v>
      </c>
      <c r="E2274" s="3459">
        <v>0</v>
      </c>
      <c r="F2274" s="3460"/>
      <c r="G2274" s="3470"/>
      <c r="H2274" s="3462" t="e">
        <f t="shared" si="148"/>
        <v>#DIV/0!</v>
      </c>
    </row>
    <row r="2275" spans="1:8" ht="15" customHeight="1">
      <c r="A2275" s="1556"/>
      <c r="B2275" s="1429"/>
      <c r="C2275" s="3467" t="s">
        <v>832</v>
      </c>
      <c r="D2275" s="3468" t="s">
        <v>708</v>
      </c>
      <c r="E2275" s="3459">
        <v>37842</v>
      </c>
      <c r="F2275" s="3460">
        <v>35700</v>
      </c>
      <c r="G2275" s="3470">
        <v>0</v>
      </c>
      <c r="H2275" s="3462">
        <f t="shared" si="148"/>
        <v>0</v>
      </c>
    </row>
    <row r="2276" spans="1:8" ht="17.100000000000001" customHeight="1">
      <c r="A2276" s="1556"/>
      <c r="B2276" s="1429"/>
      <c r="C2276" s="3467" t="s">
        <v>780</v>
      </c>
      <c r="D2276" s="3468" t="s">
        <v>708</v>
      </c>
      <c r="E2276" s="3459">
        <v>6678</v>
      </c>
      <c r="F2276" s="3460">
        <v>6300</v>
      </c>
      <c r="G2276" s="3469">
        <v>0</v>
      </c>
      <c r="H2276" s="3462">
        <f t="shared" si="148"/>
        <v>0</v>
      </c>
    </row>
    <row r="2277" spans="1:8" ht="17.100000000000001" customHeight="1">
      <c r="A2277" s="1556"/>
      <c r="B2277" s="1429"/>
      <c r="C2277" s="3467" t="s">
        <v>1046</v>
      </c>
      <c r="D2277" s="3468" t="s">
        <v>712</v>
      </c>
      <c r="E2277" s="3459">
        <v>12614</v>
      </c>
      <c r="F2277" s="3460">
        <v>11900</v>
      </c>
      <c r="G2277" s="3470">
        <v>0</v>
      </c>
      <c r="H2277" s="3462">
        <f t="shared" si="148"/>
        <v>0</v>
      </c>
    </row>
    <row r="2278" spans="1:8" ht="17.100000000000001" customHeight="1">
      <c r="A2278" s="1556"/>
      <c r="B2278" s="1429"/>
      <c r="C2278" s="3467" t="s">
        <v>1001</v>
      </c>
      <c r="D2278" s="3468" t="s">
        <v>712</v>
      </c>
      <c r="E2278" s="3459">
        <v>2226</v>
      </c>
      <c r="F2278" s="3460">
        <v>2100</v>
      </c>
      <c r="G2278" s="3470">
        <v>0</v>
      </c>
      <c r="H2278" s="3462">
        <f t="shared" si="148"/>
        <v>0</v>
      </c>
    </row>
    <row r="2279" spans="1:8" ht="17.100000000000001" customHeight="1">
      <c r="A2279" s="1556"/>
      <c r="B2279" s="1429"/>
      <c r="C2279" s="3467" t="s">
        <v>833</v>
      </c>
      <c r="D2279" s="3468" t="s">
        <v>718</v>
      </c>
      <c r="E2279" s="3459">
        <v>6308</v>
      </c>
      <c r="F2279" s="3460">
        <v>5950</v>
      </c>
      <c r="G2279" s="3469">
        <v>0</v>
      </c>
      <c r="H2279" s="3462">
        <f t="shared" si="148"/>
        <v>0</v>
      </c>
    </row>
    <row r="2280" spans="1:8" ht="17.100000000000001" customHeight="1">
      <c r="A2280" s="1556"/>
      <c r="B2280" s="1429"/>
      <c r="C2280" s="3467" t="s">
        <v>784</v>
      </c>
      <c r="D2280" s="3468" t="s">
        <v>718</v>
      </c>
      <c r="E2280" s="3459">
        <v>1112</v>
      </c>
      <c r="F2280" s="3460">
        <v>1050</v>
      </c>
      <c r="G2280" s="3470">
        <v>0</v>
      </c>
      <c r="H2280" s="3462">
        <f t="shared" si="148"/>
        <v>0</v>
      </c>
    </row>
    <row r="2281" spans="1:8" ht="17.100000000000001" customHeight="1">
      <c r="A2281" s="1556"/>
      <c r="B2281" s="1429"/>
      <c r="C2281" s="3467" t="s">
        <v>1050</v>
      </c>
      <c r="D2281" s="3468" t="s">
        <v>947</v>
      </c>
      <c r="E2281" s="3459">
        <v>6308</v>
      </c>
      <c r="F2281" s="3460">
        <v>5950</v>
      </c>
      <c r="G2281" s="3470">
        <v>0</v>
      </c>
      <c r="H2281" s="3462">
        <f t="shared" si="148"/>
        <v>0</v>
      </c>
    </row>
    <row r="2282" spans="1:8" ht="17.100000000000001" customHeight="1">
      <c r="A2282" s="1556"/>
      <c r="B2282" s="1429"/>
      <c r="C2282" s="3467" t="s">
        <v>1052</v>
      </c>
      <c r="D2282" s="3468" t="s">
        <v>947</v>
      </c>
      <c r="E2282" s="3459">
        <v>1112</v>
      </c>
      <c r="F2282" s="3460">
        <v>1050</v>
      </c>
      <c r="G2282" s="3469">
        <v>0</v>
      </c>
      <c r="H2282" s="3462">
        <f t="shared" si="148"/>
        <v>0</v>
      </c>
    </row>
    <row r="2283" spans="1:8" ht="17.100000000000001" hidden="1" customHeight="1">
      <c r="A2283" s="1556"/>
      <c r="B2283" s="1429"/>
      <c r="C2283" s="3467" t="s">
        <v>834</v>
      </c>
      <c r="D2283" s="3468" t="s">
        <v>722</v>
      </c>
      <c r="E2283" s="3459">
        <v>0</v>
      </c>
      <c r="F2283" s="3460"/>
      <c r="G2283" s="3470"/>
      <c r="H2283" s="3462" t="e">
        <f t="shared" si="148"/>
        <v>#DIV/0!</v>
      </c>
    </row>
    <row r="2284" spans="1:8" ht="17.100000000000001" customHeight="1">
      <c r="A2284" s="1556"/>
      <c r="B2284" s="1429"/>
      <c r="C2284" s="3467" t="s">
        <v>837</v>
      </c>
      <c r="D2284" s="3481" t="s">
        <v>703</v>
      </c>
      <c r="E2284" s="3459">
        <v>848</v>
      </c>
      <c r="F2284" s="3460">
        <v>6630</v>
      </c>
      <c r="G2284" s="3470">
        <v>0</v>
      </c>
      <c r="H2284" s="3462">
        <f t="shared" si="148"/>
        <v>0</v>
      </c>
    </row>
    <row r="2285" spans="1:8" ht="17.100000000000001" customHeight="1" thickBot="1">
      <c r="A2285" s="1750"/>
      <c r="B2285" s="1591"/>
      <c r="C2285" s="3482" t="s">
        <v>796</v>
      </c>
      <c r="D2285" s="3483" t="s">
        <v>703</v>
      </c>
      <c r="E2285" s="3484">
        <v>152</v>
      </c>
      <c r="F2285" s="1538">
        <v>1171</v>
      </c>
      <c r="G2285" s="3485">
        <v>0</v>
      </c>
      <c r="H2285" s="1540">
        <f t="shared" si="148"/>
        <v>0</v>
      </c>
    </row>
    <row r="2286" spans="1:8" ht="17.100000000000001" customHeight="1" thickBot="1">
      <c r="A2286" s="1556"/>
      <c r="B2286" s="1500" t="s">
        <v>1248</v>
      </c>
      <c r="C2286" s="1501"/>
      <c r="D2286" s="1502" t="s">
        <v>1249</v>
      </c>
      <c r="E2286" s="1503">
        <f>SUM(E2287,E2312)</f>
        <v>657938</v>
      </c>
      <c r="F2286" s="1504">
        <f>SUM(F2287,F2312)</f>
        <v>770546</v>
      </c>
      <c r="G2286" s="1505">
        <f>SUM(G2287,G2312)</f>
        <v>896634</v>
      </c>
      <c r="H2286" s="1506">
        <f t="shared" si="148"/>
        <v>1.1636346175309455</v>
      </c>
    </row>
    <row r="2287" spans="1:8" ht="17.100000000000001" customHeight="1">
      <c r="A2287" s="1556"/>
      <c r="B2287" s="1429"/>
      <c r="C2287" s="4496" t="s">
        <v>688</v>
      </c>
      <c r="D2287" s="4524"/>
      <c r="E2287" s="2946">
        <f>SUM(E2288,E2309)</f>
        <v>632938</v>
      </c>
      <c r="F2287" s="1418">
        <f>SUM(F2288,F2309)</f>
        <v>745546</v>
      </c>
      <c r="G2287" s="2947">
        <f>SUM(G2288,G2309)</f>
        <v>896634</v>
      </c>
      <c r="H2287" s="1420">
        <f t="shared" si="148"/>
        <v>1.2026541621844931</v>
      </c>
    </row>
    <row r="2288" spans="1:8" ht="17.100000000000001" customHeight="1">
      <c r="A2288" s="1556"/>
      <c r="B2288" s="1429"/>
      <c r="C2288" s="4525" t="s">
        <v>689</v>
      </c>
      <c r="D2288" s="4525"/>
      <c r="E2288" s="3459">
        <f>SUM(E2289,E2298)</f>
        <v>630569</v>
      </c>
      <c r="F2288" s="3460">
        <f>SUM(F2289,F2298)</f>
        <v>743177</v>
      </c>
      <c r="G2288" s="3461">
        <f>SUM(G2289,G2298)</f>
        <v>894194</v>
      </c>
      <c r="H2288" s="1453">
        <f t="shared" si="148"/>
        <v>1.2032046201645099</v>
      </c>
    </row>
    <row r="2289" spans="1:8" ht="17.100000000000001" customHeight="1">
      <c r="A2289" s="1556"/>
      <c r="B2289" s="1429"/>
      <c r="C2289" s="4385" t="s">
        <v>690</v>
      </c>
      <c r="D2289" s="4385"/>
      <c r="E2289" s="3463">
        <f>SUM(E2292:E2296)</f>
        <v>76548</v>
      </c>
      <c r="F2289" s="3464">
        <f>SUM(F2292:F2296)</f>
        <v>76548</v>
      </c>
      <c r="G2289" s="3465">
        <f>SUM(G2292:G2296)</f>
        <v>83044</v>
      </c>
      <c r="H2289" s="3466">
        <f t="shared" si="148"/>
        <v>1.0848617860688718</v>
      </c>
    </row>
    <row r="2290" spans="1:8" ht="17.100000000000001" hidden="1" customHeight="1">
      <c r="A2290" s="1556"/>
      <c r="B2290" s="1429"/>
      <c r="C2290" s="3467" t="s">
        <v>692</v>
      </c>
      <c r="D2290" s="3468" t="s">
        <v>693</v>
      </c>
      <c r="E2290" s="3459">
        <v>0</v>
      </c>
      <c r="F2290" s="3460"/>
      <c r="G2290" s="3469"/>
      <c r="H2290" s="3462" t="e">
        <f t="shared" si="148"/>
        <v>#DIV/0!</v>
      </c>
    </row>
    <row r="2291" spans="1:8" ht="17.100000000000001" hidden="1" customHeight="1">
      <c r="A2291" s="1556"/>
      <c r="B2291" s="1429"/>
      <c r="C2291" s="3467" t="s">
        <v>694</v>
      </c>
      <c r="D2291" s="3468" t="s">
        <v>695</v>
      </c>
      <c r="E2291" s="3459">
        <v>0</v>
      </c>
      <c r="F2291" s="3460"/>
      <c r="G2291" s="3470"/>
      <c r="H2291" s="3462" t="e">
        <f t="shared" si="148"/>
        <v>#DIV/0!</v>
      </c>
    </row>
    <row r="2292" spans="1:8" ht="16.5" customHeight="1">
      <c r="A2292" s="1556"/>
      <c r="B2292" s="1429"/>
      <c r="C2292" s="3472" t="s">
        <v>696</v>
      </c>
      <c r="D2292" s="3473" t="s">
        <v>697</v>
      </c>
      <c r="E2292" s="3459">
        <v>11069</v>
      </c>
      <c r="F2292" s="3460">
        <v>11069</v>
      </c>
      <c r="G2292" s="3470">
        <v>12103</v>
      </c>
      <c r="H2292" s="3462">
        <f t="shared" si="148"/>
        <v>1.0934140392086007</v>
      </c>
    </row>
    <row r="2293" spans="1:8" ht="16.5" customHeight="1">
      <c r="A2293" s="1556"/>
      <c r="B2293" s="1429"/>
      <c r="C2293" s="2952" t="s">
        <v>698</v>
      </c>
      <c r="D2293" s="2953" t="s">
        <v>699</v>
      </c>
      <c r="E2293" s="3459">
        <v>1578</v>
      </c>
      <c r="F2293" s="3460">
        <v>1578</v>
      </c>
      <c r="G2293" s="3470">
        <v>536</v>
      </c>
      <c r="H2293" s="3462">
        <f t="shared" si="148"/>
        <v>0.33967046894803549</v>
      </c>
    </row>
    <row r="2294" spans="1:8" ht="16.5" hidden="1" customHeight="1">
      <c r="A2294" s="1556"/>
      <c r="B2294" s="1429"/>
      <c r="C2294" s="2725" t="s">
        <v>700</v>
      </c>
      <c r="D2294" s="3486" t="s">
        <v>701</v>
      </c>
      <c r="E2294" s="3459">
        <v>0</v>
      </c>
      <c r="F2294" s="3460">
        <v>0</v>
      </c>
      <c r="G2294" s="3470"/>
      <c r="H2294" s="3462" t="e">
        <f t="shared" si="148"/>
        <v>#DIV/0!</v>
      </c>
    </row>
    <row r="2295" spans="1:8" ht="16.5" customHeight="1">
      <c r="A2295" s="1556"/>
      <c r="B2295" s="1429"/>
      <c r="C2295" s="3487" t="s">
        <v>1110</v>
      </c>
      <c r="D2295" s="3488" t="s">
        <v>1111</v>
      </c>
      <c r="E2295" s="2954">
        <v>62154</v>
      </c>
      <c r="F2295" s="3460">
        <v>62154</v>
      </c>
      <c r="G2295" s="3469">
        <v>64889</v>
      </c>
      <c r="H2295" s="3462">
        <f t="shared" si="148"/>
        <v>1.0440036039514753</v>
      </c>
    </row>
    <row r="2296" spans="1:8" ht="16.5" customHeight="1">
      <c r="A2296" s="1556"/>
      <c r="B2296" s="1429"/>
      <c r="C2296" s="3487" t="s">
        <v>1112</v>
      </c>
      <c r="D2296" s="3488" t="s">
        <v>1113</v>
      </c>
      <c r="E2296" s="2954">
        <v>1747</v>
      </c>
      <c r="F2296" s="3460">
        <v>1747</v>
      </c>
      <c r="G2296" s="3469">
        <v>5516</v>
      </c>
      <c r="H2296" s="3462">
        <f t="shared" si="148"/>
        <v>3.1574127074985689</v>
      </c>
    </row>
    <row r="2297" spans="1:8" ht="17.100000000000001" customHeight="1" thickBot="1">
      <c r="A2297" s="1797"/>
      <c r="B2297" s="1591"/>
      <c r="C2297" s="3489"/>
      <c r="D2297" s="3489"/>
      <c r="E2297" s="1520"/>
      <c r="F2297" s="1538"/>
      <c r="G2297" s="3485"/>
      <c r="H2297" s="1540"/>
    </row>
    <row r="2298" spans="1:8" ht="17.100000000000001" customHeight="1">
      <c r="A2298" s="1700"/>
      <c r="B2298" s="1524"/>
      <c r="C2298" s="4526" t="s">
        <v>704</v>
      </c>
      <c r="D2298" s="4526"/>
      <c r="E2298" s="3490">
        <f>SUM(E2299:E2306)</f>
        <v>554021</v>
      </c>
      <c r="F2298" s="3491">
        <f>SUM(F2299:F2306)</f>
        <v>666629</v>
      </c>
      <c r="G2298" s="3492">
        <f>SUM(G2299:G2306)</f>
        <v>811150</v>
      </c>
      <c r="H2298" s="3493">
        <f t="shared" ref="H2298:H2307" si="150">G2298/F2298</f>
        <v>1.2167937488468099</v>
      </c>
    </row>
    <row r="2299" spans="1:8" ht="17.100000000000001" customHeight="1">
      <c r="A2299" s="1556"/>
      <c r="B2299" s="1429"/>
      <c r="C2299" s="3487" t="s">
        <v>707</v>
      </c>
      <c r="D2299" s="3488" t="s">
        <v>708</v>
      </c>
      <c r="E2299" s="3459">
        <v>10000</v>
      </c>
      <c r="F2299" s="3460">
        <v>10000</v>
      </c>
      <c r="G2299" s="3470">
        <v>10000</v>
      </c>
      <c r="H2299" s="3462">
        <f t="shared" si="150"/>
        <v>1</v>
      </c>
    </row>
    <row r="2300" spans="1:8" ht="17.100000000000001" customHeight="1">
      <c r="A2300" s="1556"/>
      <c r="B2300" s="1429"/>
      <c r="C2300" s="3487" t="s">
        <v>711</v>
      </c>
      <c r="D2300" s="3488" t="s">
        <v>712</v>
      </c>
      <c r="E2300" s="3459">
        <v>220392</v>
      </c>
      <c r="F2300" s="3460">
        <v>220392</v>
      </c>
      <c r="G2300" s="3470">
        <v>250450</v>
      </c>
      <c r="H2300" s="3462">
        <f t="shared" si="150"/>
        <v>1.1363842607717158</v>
      </c>
    </row>
    <row r="2301" spans="1:8" ht="17.100000000000001" customHeight="1">
      <c r="A2301" s="1556"/>
      <c r="B2301" s="1429"/>
      <c r="C2301" s="3494" t="s">
        <v>713</v>
      </c>
      <c r="D2301" s="3488" t="s">
        <v>714</v>
      </c>
      <c r="E2301" s="3459">
        <v>310000</v>
      </c>
      <c r="F2301" s="3460">
        <v>422608</v>
      </c>
      <c r="G2301" s="3470">
        <v>535650</v>
      </c>
      <c r="H2301" s="3462">
        <f t="shared" si="150"/>
        <v>1.2674866542990195</v>
      </c>
    </row>
    <row r="2302" spans="1:8" ht="17.100000000000001" customHeight="1">
      <c r="A2302" s="1556"/>
      <c r="B2302" s="1429"/>
      <c r="C2302" s="3494" t="s">
        <v>715</v>
      </c>
      <c r="D2302" s="3488" t="s">
        <v>716</v>
      </c>
      <c r="E2302" s="3459">
        <v>600</v>
      </c>
      <c r="F2302" s="3460">
        <v>600</v>
      </c>
      <c r="G2302" s="3470">
        <v>200</v>
      </c>
      <c r="H2302" s="3462">
        <f t="shared" si="150"/>
        <v>0.33333333333333331</v>
      </c>
    </row>
    <row r="2303" spans="1:8" ht="17.100000000000001" customHeight="1">
      <c r="A2303" s="1556"/>
      <c r="B2303" s="1429"/>
      <c r="C2303" s="3494" t="s">
        <v>717</v>
      </c>
      <c r="D2303" s="3488" t="s">
        <v>718</v>
      </c>
      <c r="E2303" s="3459">
        <v>10000</v>
      </c>
      <c r="F2303" s="3460">
        <v>10000</v>
      </c>
      <c r="G2303" s="3470">
        <v>11500</v>
      </c>
      <c r="H2303" s="3462">
        <f t="shared" si="150"/>
        <v>1.1499999999999999</v>
      </c>
    </row>
    <row r="2304" spans="1:8" ht="16.5" hidden="1" customHeight="1">
      <c r="A2304" s="1556"/>
      <c r="B2304" s="4473"/>
      <c r="C2304" s="3494" t="s">
        <v>719</v>
      </c>
      <c r="D2304" s="3488" t="s">
        <v>947</v>
      </c>
      <c r="E2304" s="3459">
        <v>0</v>
      </c>
      <c r="F2304" s="3460"/>
      <c r="G2304" s="3470"/>
      <c r="H2304" s="3462" t="e">
        <f t="shared" si="150"/>
        <v>#DIV/0!</v>
      </c>
    </row>
    <row r="2305" spans="1:8" ht="16.5" hidden="1" customHeight="1">
      <c r="A2305" s="1556"/>
      <c r="B2305" s="4473"/>
      <c r="C2305" s="3495" t="s">
        <v>727</v>
      </c>
      <c r="D2305" s="3475" t="s">
        <v>728</v>
      </c>
      <c r="E2305" s="3459">
        <v>0</v>
      </c>
      <c r="F2305" s="3460"/>
      <c r="G2305" s="3470"/>
      <c r="H2305" s="3462" t="e">
        <f t="shared" si="150"/>
        <v>#DIV/0!</v>
      </c>
    </row>
    <row r="2306" spans="1:8" ht="17.100000000000001" customHeight="1">
      <c r="A2306" s="1556"/>
      <c r="B2306" s="4473"/>
      <c r="C2306" s="3474" t="s">
        <v>729</v>
      </c>
      <c r="D2306" s="3475" t="s">
        <v>730</v>
      </c>
      <c r="E2306" s="3459">
        <v>3029</v>
      </c>
      <c r="F2306" s="3460">
        <v>3029</v>
      </c>
      <c r="G2306" s="3470">
        <v>3350</v>
      </c>
      <c r="H2306" s="3462">
        <f t="shared" si="150"/>
        <v>1.1059755694948827</v>
      </c>
    </row>
    <row r="2307" spans="1:8" ht="17.100000000000001" hidden="1" customHeight="1">
      <c r="A2307" s="1556"/>
      <c r="B2307" s="4473"/>
      <c r="C2307" s="3476" t="s">
        <v>735</v>
      </c>
      <c r="D2307" s="3477" t="s">
        <v>1245</v>
      </c>
      <c r="E2307" s="3459">
        <v>0</v>
      </c>
      <c r="F2307" s="3460"/>
      <c r="G2307" s="3470"/>
      <c r="H2307" s="3462" t="e">
        <f t="shared" si="150"/>
        <v>#DIV/0!</v>
      </c>
    </row>
    <row r="2308" spans="1:8" ht="17.100000000000001" customHeight="1">
      <c r="A2308" s="1556"/>
      <c r="B2308" s="4473"/>
      <c r="C2308" s="3478"/>
      <c r="D2308" s="3479"/>
      <c r="E2308" s="3478"/>
      <c r="F2308" s="3460"/>
      <c r="G2308" s="3470"/>
      <c r="H2308" s="3462"/>
    </row>
    <row r="2309" spans="1:8" ht="17.100000000000001" customHeight="1">
      <c r="A2309" s="1556"/>
      <c r="B2309" s="4473"/>
      <c r="C2309" s="4527" t="s">
        <v>741</v>
      </c>
      <c r="D2309" s="4528"/>
      <c r="E2309" s="3496">
        <f>SUM(E2310)</f>
        <v>2369</v>
      </c>
      <c r="F2309" s="3460">
        <f>SUM(F2310)</f>
        <v>2369</v>
      </c>
      <c r="G2309" s="3497">
        <f>SUM(G2310)</f>
        <v>2440</v>
      </c>
      <c r="H2309" s="3462">
        <f>G2309/F2309</f>
        <v>1.0299704516673702</v>
      </c>
    </row>
    <row r="2310" spans="1:8" ht="17.100000000000001" customHeight="1">
      <c r="A2310" s="1556"/>
      <c r="B2310" s="4473"/>
      <c r="C2310" s="3498" t="s">
        <v>742</v>
      </c>
      <c r="D2310" s="3499" t="s">
        <v>743</v>
      </c>
      <c r="E2310" s="3496">
        <v>2369</v>
      </c>
      <c r="F2310" s="3460">
        <v>2369</v>
      </c>
      <c r="G2310" s="3500">
        <v>2440</v>
      </c>
      <c r="H2310" s="3462">
        <f>G2310/F2310</f>
        <v>1.0299704516673702</v>
      </c>
    </row>
    <row r="2311" spans="1:8" ht="17.100000000000001" customHeight="1">
      <c r="A2311" s="1750"/>
      <c r="B2311" s="1750"/>
      <c r="C2311" s="4410"/>
      <c r="D2311" s="4514"/>
      <c r="E2311" s="3019"/>
      <c r="F2311" s="3501"/>
      <c r="G2311" s="3502"/>
      <c r="H2311" s="3503"/>
    </row>
    <row r="2312" spans="1:8" ht="17.100000000000001" customHeight="1">
      <c r="A2312" s="1556"/>
      <c r="B2312" s="1750"/>
      <c r="C2312" s="4515" t="s">
        <v>744</v>
      </c>
      <c r="D2312" s="4515"/>
      <c r="E2312" s="3504">
        <f t="shared" ref="E2312:G2313" si="151">SUM(E2313)</f>
        <v>25000</v>
      </c>
      <c r="F2312" s="3505">
        <f t="shared" si="151"/>
        <v>25000</v>
      </c>
      <c r="G2312" s="3506">
        <f t="shared" si="151"/>
        <v>0</v>
      </c>
      <c r="H2312" s="3507">
        <f t="shared" ref="H2312:H2375" si="152">G2312/F2312</f>
        <v>0</v>
      </c>
    </row>
    <row r="2313" spans="1:8" ht="17.100000000000001" customHeight="1">
      <c r="A2313" s="1556"/>
      <c r="B2313" s="1750"/>
      <c r="C2313" s="4516" t="s">
        <v>745</v>
      </c>
      <c r="D2313" s="4516"/>
      <c r="E2313" s="3496">
        <f t="shared" si="151"/>
        <v>25000</v>
      </c>
      <c r="F2313" s="3460">
        <f t="shared" si="151"/>
        <v>25000</v>
      </c>
      <c r="G2313" s="3461">
        <f t="shared" si="151"/>
        <v>0</v>
      </c>
      <c r="H2313" s="3462">
        <f t="shared" si="152"/>
        <v>0</v>
      </c>
    </row>
    <row r="2314" spans="1:8" ht="17.100000000000001" customHeight="1" thickBot="1">
      <c r="A2314" s="1556"/>
      <c r="B2314" s="1750"/>
      <c r="C2314" s="1478" t="s">
        <v>755</v>
      </c>
      <c r="D2314" s="3508" t="s">
        <v>747</v>
      </c>
      <c r="E2314" s="3496">
        <v>25000</v>
      </c>
      <c r="F2314" s="3460">
        <v>25000</v>
      </c>
      <c r="G2314" s="3470">
        <v>0</v>
      </c>
      <c r="H2314" s="3509">
        <f t="shared" si="152"/>
        <v>0</v>
      </c>
    </row>
    <row r="2315" spans="1:8" ht="17.100000000000001" customHeight="1" thickBot="1">
      <c r="A2315" s="1556"/>
      <c r="B2315" s="1500" t="s">
        <v>1250</v>
      </c>
      <c r="C2315" s="1501"/>
      <c r="D2315" s="1502" t="s">
        <v>1251</v>
      </c>
      <c r="E2315" s="1803">
        <f t="shared" ref="E2315:G2317" si="153">SUM(E2316)</f>
        <v>0</v>
      </c>
      <c r="F2315" s="1804">
        <f t="shared" si="153"/>
        <v>400000</v>
      </c>
      <c r="G2315" s="1805">
        <f t="shared" si="153"/>
        <v>0</v>
      </c>
      <c r="H2315" s="1506">
        <f t="shared" si="152"/>
        <v>0</v>
      </c>
    </row>
    <row r="2316" spans="1:8" ht="17.100000000000001" customHeight="1">
      <c r="A2316" s="1556"/>
      <c r="B2316" s="1915"/>
      <c r="C2316" s="4517" t="s">
        <v>688</v>
      </c>
      <c r="D2316" s="4517"/>
      <c r="E2316" s="1815">
        <f t="shared" si="153"/>
        <v>0</v>
      </c>
      <c r="F2316" s="1816">
        <f t="shared" si="153"/>
        <v>400000</v>
      </c>
      <c r="G2316" s="1817">
        <f t="shared" si="153"/>
        <v>0</v>
      </c>
      <c r="H2316" s="1509">
        <f t="shared" si="152"/>
        <v>0</v>
      </c>
    </row>
    <row r="2317" spans="1:8" ht="17.100000000000001" customHeight="1">
      <c r="A2317" s="1556"/>
      <c r="B2317" s="1915"/>
      <c r="C2317" s="4518" t="s">
        <v>1252</v>
      </c>
      <c r="D2317" s="4519"/>
      <c r="E2317" s="3510">
        <f t="shared" si="153"/>
        <v>0</v>
      </c>
      <c r="F2317" s="3511">
        <f t="shared" si="153"/>
        <v>400000</v>
      </c>
      <c r="G2317" s="3512">
        <f t="shared" si="153"/>
        <v>0</v>
      </c>
      <c r="H2317" s="3462">
        <f t="shared" si="152"/>
        <v>0</v>
      </c>
    </row>
    <row r="2318" spans="1:8" ht="43.5" customHeight="1" thickBot="1">
      <c r="A2318" s="1797"/>
      <c r="B2318" s="3513"/>
      <c r="C2318" s="3514" t="s">
        <v>353</v>
      </c>
      <c r="D2318" s="3515" t="s">
        <v>932</v>
      </c>
      <c r="E2318" s="3516">
        <v>0</v>
      </c>
      <c r="F2318" s="1538">
        <v>400000</v>
      </c>
      <c r="G2318" s="3485">
        <v>0</v>
      </c>
      <c r="H2318" s="1540">
        <f t="shared" si="152"/>
        <v>0</v>
      </c>
    </row>
    <row r="2319" spans="1:8" ht="17.100000000000001" hidden="1" customHeight="1">
      <c r="A2319" s="1556"/>
      <c r="B2319" s="1921"/>
      <c r="C2319" s="3517"/>
      <c r="D2319" s="3518"/>
      <c r="E2319" s="3519"/>
      <c r="F2319" s="1909"/>
      <c r="G2319" s="2474"/>
      <c r="H2319" s="1942" t="e">
        <f t="shared" si="152"/>
        <v>#DIV/0!</v>
      </c>
    </row>
    <row r="2320" spans="1:8" ht="17.100000000000001" hidden="1" customHeight="1">
      <c r="A2320" s="1556"/>
      <c r="B2320" s="4520"/>
      <c r="C2320" s="4376" t="s">
        <v>744</v>
      </c>
      <c r="D2320" s="4376"/>
      <c r="E2320" s="2845">
        <v>0</v>
      </c>
      <c r="F2320" s="3501"/>
      <c r="G2320" s="3224"/>
      <c r="H2320" s="3503" t="e">
        <f t="shared" si="152"/>
        <v>#DIV/0!</v>
      </c>
    </row>
    <row r="2321" spans="1:10" ht="17.100000000000001" hidden="1" customHeight="1">
      <c r="A2321" s="1556"/>
      <c r="B2321" s="4520"/>
      <c r="C2321" s="4522" t="s">
        <v>745</v>
      </c>
      <c r="D2321" s="4523"/>
      <c r="E2321" s="3520">
        <v>0</v>
      </c>
      <c r="F2321" s="3501"/>
      <c r="G2321" s="3502"/>
      <c r="H2321" s="3503" t="e">
        <f t="shared" si="152"/>
        <v>#DIV/0!</v>
      </c>
    </row>
    <row r="2322" spans="1:10" ht="41.25" hidden="1" customHeight="1" thickBot="1">
      <c r="A2322" s="1797"/>
      <c r="B2322" s="4521"/>
      <c r="C2322" s="3521" t="s">
        <v>880</v>
      </c>
      <c r="D2322" s="3522" t="s">
        <v>881</v>
      </c>
      <c r="E2322" s="3523">
        <v>0</v>
      </c>
      <c r="F2322" s="2408"/>
      <c r="G2322" s="3524"/>
      <c r="H2322" s="2410" t="e">
        <f t="shared" si="152"/>
        <v>#DIV/0!</v>
      </c>
    </row>
    <row r="2323" spans="1:10" ht="18" customHeight="1" thickBot="1">
      <c r="A2323" s="1595" t="s">
        <v>1253</v>
      </c>
      <c r="B2323" s="1596"/>
      <c r="C2323" s="1597"/>
      <c r="D2323" s="1598" t="s">
        <v>1254</v>
      </c>
      <c r="E2323" s="1599">
        <f>SUM(E2324,E2330,E2381,E2411)</f>
        <v>6241583</v>
      </c>
      <c r="F2323" s="1600">
        <f>SUM(F2324,F2330,F2381,F2411)</f>
        <v>6241583</v>
      </c>
      <c r="G2323" s="1601">
        <f>SUM(G2324,G2330,G2381,G2411)</f>
        <v>8790499</v>
      </c>
      <c r="H2323" s="1602">
        <f t="shared" si="152"/>
        <v>1.4083765288389178</v>
      </c>
    </row>
    <row r="2324" spans="1:10" s="1622" customFormat="1" ht="18" customHeight="1" thickBot="1">
      <c r="A2324" s="1623"/>
      <c r="B2324" s="1624" t="s">
        <v>1255</v>
      </c>
      <c r="C2324" s="1625"/>
      <c r="D2324" s="1626" t="s">
        <v>1256</v>
      </c>
      <c r="E2324" s="1627">
        <f t="shared" ref="E2324:G2326" si="154">SUM(E2325)</f>
        <v>3750</v>
      </c>
      <c r="F2324" s="1628">
        <f t="shared" si="154"/>
        <v>3750</v>
      </c>
      <c r="G2324" s="1629">
        <f t="shared" si="154"/>
        <v>4312</v>
      </c>
      <c r="H2324" s="1630">
        <f t="shared" si="152"/>
        <v>1.1498666666666666</v>
      </c>
      <c r="J2324" s="1370"/>
    </row>
    <row r="2325" spans="1:10" s="1622" customFormat="1" ht="15.75" customHeight="1">
      <c r="A2325" s="1631"/>
      <c r="B2325" s="1653"/>
      <c r="C2325" s="4426" t="s">
        <v>688</v>
      </c>
      <c r="D2325" s="4426"/>
      <c r="E2325" s="2506">
        <f t="shared" si="154"/>
        <v>3750</v>
      </c>
      <c r="F2325" s="1634">
        <f t="shared" si="154"/>
        <v>3750</v>
      </c>
      <c r="G2325" s="2507">
        <f t="shared" si="154"/>
        <v>4312</v>
      </c>
      <c r="H2325" s="1636">
        <f t="shared" si="152"/>
        <v>1.1498666666666666</v>
      </c>
      <c r="J2325" s="1370" t="s">
        <v>931</v>
      </c>
    </row>
    <row r="2326" spans="1:10" s="1622" customFormat="1" ht="15.75" customHeight="1">
      <c r="A2326" s="1631"/>
      <c r="B2326" s="1653"/>
      <c r="C2326" s="4510" t="s">
        <v>689</v>
      </c>
      <c r="D2326" s="4510"/>
      <c r="E2326" s="3525">
        <f t="shared" si="154"/>
        <v>3750</v>
      </c>
      <c r="F2326" s="3526">
        <f t="shared" si="154"/>
        <v>3750</v>
      </c>
      <c r="G2326" s="3270">
        <f t="shared" si="154"/>
        <v>4312</v>
      </c>
      <c r="H2326" s="3527">
        <f t="shared" si="152"/>
        <v>1.1498666666666666</v>
      </c>
      <c r="J2326" s="1370"/>
    </row>
    <row r="2327" spans="1:10" s="1622" customFormat="1" ht="15.75" customHeight="1">
      <c r="A2327" s="1631"/>
      <c r="B2327" s="1653"/>
      <c r="C2327" s="4511" t="s">
        <v>704</v>
      </c>
      <c r="D2327" s="4511"/>
      <c r="E2327" s="3528">
        <f>SUM(E2328:E2329)</f>
        <v>3750</v>
      </c>
      <c r="F2327" s="3529">
        <f>SUM(F2328:F2329)</f>
        <v>3750</v>
      </c>
      <c r="G2327" s="3530">
        <f>SUM(G2328:G2329)</f>
        <v>4312</v>
      </c>
      <c r="H2327" s="3531">
        <f t="shared" si="152"/>
        <v>1.1498666666666666</v>
      </c>
      <c r="J2327" s="1370"/>
    </row>
    <row r="2328" spans="1:10" s="1622" customFormat="1" ht="15.75" customHeight="1">
      <c r="A2328" s="1631"/>
      <c r="B2328" s="1653"/>
      <c r="C2328" s="3532" t="s">
        <v>707</v>
      </c>
      <c r="D2328" s="3533" t="s">
        <v>708</v>
      </c>
      <c r="E2328" s="3525">
        <v>1583</v>
      </c>
      <c r="F2328" s="3526">
        <v>1583</v>
      </c>
      <c r="G2328" s="3145">
        <v>1642</v>
      </c>
      <c r="H2328" s="3527">
        <f t="shared" si="152"/>
        <v>1.0372710044219835</v>
      </c>
      <c r="J2328" s="1370"/>
    </row>
    <row r="2329" spans="1:10" s="1622" customFormat="1" ht="15.75" customHeight="1" thickBot="1">
      <c r="A2329" s="1653"/>
      <c r="B2329" s="1890"/>
      <c r="C2329" s="3534" t="s">
        <v>717</v>
      </c>
      <c r="D2329" s="3535" t="s">
        <v>718</v>
      </c>
      <c r="E2329" s="3536">
        <v>2167</v>
      </c>
      <c r="F2329" s="1676">
        <v>2167</v>
      </c>
      <c r="G2329" s="3537">
        <v>2670</v>
      </c>
      <c r="H2329" s="1678">
        <f t="shared" si="152"/>
        <v>1.2321181356714352</v>
      </c>
      <c r="J2329" s="1370"/>
    </row>
    <row r="2330" spans="1:10" s="1622" customFormat="1" ht="15" customHeight="1" thickBot="1">
      <c r="A2330" s="1631"/>
      <c r="B2330" s="1624" t="s">
        <v>1257</v>
      </c>
      <c r="C2330" s="1972"/>
      <c r="D2330" s="1626" t="s">
        <v>638</v>
      </c>
      <c r="E2330" s="1627">
        <f t="shared" ref="E2330:G2332" si="155">SUM(E2331)</f>
        <v>250000</v>
      </c>
      <c r="F2330" s="1628">
        <f t="shared" si="155"/>
        <v>250000</v>
      </c>
      <c r="G2330" s="1629">
        <f t="shared" si="155"/>
        <v>275000</v>
      </c>
      <c r="H2330" s="1630">
        <f t="shared" si="152"/>
        <v>1.1000000000000001</v>
      </c>
      <c r="J2330" s="1370"/>
    </row>
    <row r="2331" spans="1:10" s="1622" customFormat="1" ht="12.75" customHeight="1">
      <c r="A2331" s="1631"/>
      <c r="B2331" s="1653"/>
      <c r="C2331" s="4426" t="s">
        <v>688</v>
      </c>
      <c r="D2331" s="4426"/>
      <c r="E2331" s="2506">
        <f t="shared" si="155"/>
        <v>250000</v>
      </c>
      <c r="F2331" s="1634">
        <f t="shared" si="155"/>
        <v>250000</v>
      </c>
      <c r="G2331" s="2507">
        <f t="shared" si="155"/>
        <v>275000</v>
      </c>
      <c r="H2331" s="1636">
        <f t="shared" si="152"/>
        <v>1.1000000000000001</v>
      </c>
      <c r="J2331" s="1370" t="s">
        <v>931</v>
      </c>
    </row>
    <row r="2332" spans="1:10" s="1622" customFormat="1" ht="16.5" customHeight="1">
      <c r="A2332" s="1631"/>
      <c r="B2332" s="1653"/>
      <c r="C2332" s="4512" t="s">
        <v>1252</v>
      </c>
      <c r="D2332" s="4513"/>
      <c r="E2332" s="3525">
        <f t="shared" si="155"/>
        <v>250000</v>
      </c>
      <c r="F2332" s="3526">
        <f t="shared" si="155"/>
        <v>250000</v>
      </c>
      <c r="G2332" s="3538">
        <f t="shared" si="155"/>
        <v>275000</v>
      </c>
      <c r="H2332" s="3527">
        <f t="shared" si="152"/>
        <v>1.1000000000000001</v>
      </c>
      <c r="J2332" s="1370"/>
    </row>
    <row r="2333" spans="1:10" s="1622" customFormat="1" ht="55.5" customHeight="1" thickBot="1">
      <c r="A2333" s="1631"/>
      <c r="B2333" s="1653"/>
      <c r="C2333" s="3532" t="s">
        <v>374</v>
      </c>
      <c r="D2333" s="3533" t="s">
        <v>817</v>
      </c>
      <c r="E2333" s="3539">
        <v>250000</v>
      </c>
      <c r="F2333" s="3526">
        <v>250000</v>
      </c>
      <c r="G2333" s="3540">
        <v>275000</v>
      </c>
      <c r="H2333" s="3527">
        <f t="shared" si="152"/>
        <v>1.1000000000000001</v>
      </c>
      <c r="J2333" s="1370"/>
    </row>
    <row r="2334" spans="1:10" ht="13.5" hidden="1" thickBot="1">
      <c r="A2334" s="1556"/>
      <c r="B2334" s="1750"/>
      <c r="C2334" s="3541"/>
      <c r="D2334" s="3541"/>
      <c r="E2334" s="3542"/>
      <c r="F2334" s="3543"/>
      <c r="G2334" s="3544"/>
      <c r="H2334" s="3545" t="e">
        <f t="shared" si="152"/>
        <v>#DIV/0!</v>
      </c>
    </row>
    <row r="2335" spans="1:10" ht="19.5" hidden="1" customHeight="1" thickBot="1">
      <c r="A2335" s="1556"/>
      <c r="B2335" s="1750"/>
      <c r="C2335" s="4503" t="s">
        <v>761</v>
      </c>
      <c r="D2335" s="4503"/>
      <c r="E2335" s="3546">
        <v>0</v>
      </c>
      <c r="F2335" s="3543"/>
      <c r="G2335" s="3544"/>
      <c r="H2335" s="3545" t="e">
        <f t="shared" si="152"/>
        <v>#DIV/0!</v>
      </c>
    </row>
    <row r="2336" spans="1:10" ht="51.75" hidden="1" thickBot="1">
      <c r="A2336" s="1556"/>
      <c r="B2336" s="1750"/>
      <c r="C2336" s="3547" t="s">
        <v>446</v>
      </c>
      <c r="D2336" s="3548" t="s">
        <v>764</v>
      </c>
      <c r="E2336" s="3546">
        <v>0</v>
      </c>
      <c r="F2336" s="3543"/>
      <c r="G2336" s="3544"/>
      <c r="H2336" s="3545" t="e">
        <f t="shared" si="152"/>
        <v>#DIV/0!</v>
      </c>
    </row>
    <row r="2337" spans="1:8" ht="15.75" hidden="1" customHeight="1" thickBot="1">
      <c r="A2337" s="1556"/>
      <c r="B2337" s="1750"/>
      <c r="C2337" s="3547" t="s">
        <v>827</v>
      </c>
      <c r="D2337" s="3549" t="s">
        <v>693</v>
      </c>
      <c r="E2337" s="3546">
        <v>0</v>
      </c>
      <c r="F2337" s="3543"/>
      <c r="G2337" s="3544"/>
      <c r="H2337" s="3545" t="e">
        <f t="shared" si="152"/>
        <v>#DIV/0!</v>
      </c>
    </row>
    <row r="2338" spans="1:8" ht="15.75" hidden="1" customHeight="1" thickBot="1">
      <c r="A2338" s="1556"/>
      <c r="B2338" s="1750"/>
      <c r="C2338" s="3547" t="s">
        <v>767</v>
      </c>
      <c r="D2338" s="3549" t="s">
        <v>693</v>
      </c>
      <c r="E2338" s="3546">
        <v>0</v>
      </c>
      <c r="F2338" s="3543"/>
      <c r="G2338" s="3544"/>
      <c r="H2338" s="3545" t="e">
        <f t="shared" si="152"/>
        <v>#DIV/0!</v>
      </c>
    </row>
    <row r="2339" spans="1:8" ht="15.75" hidden="1" customHeight="1" thickBot="1">
      <c r="A2339" s="1556"/>
      <c r="B2339" s="1750"/>
      <c r="C2339" s="3547" t="s">
        <v>828</v>
      </c>
      <c r="D2339" s="3549" t="s">
        <v>695</v>
      </c>
      <c r="E2339" s="3546">
        <v>0</v>
      </c>
      <c r="F2339" s="3543"/>
      <c r="G2339" s="3544"/>
      <c r="H2339" s="3545" t="e">
        <f t="shared" si="152"/>
        <v>#DIV/0!</v>
      </c>
    </row>
    <row r="2340" spans="1:8" ht="15.75" hidden="1" customHeight="1" thickBot="1">
      <c r="A2340" s="1556"/>
      <c r="B2340" s="1750"/>
      <c r="C2340" s="3547" t="s">
        <v>769</v>
      </c>
      <c r="D2340" s="3549" t="s">
        <v>695</v>
      </c>
      <c r="E2340" s="3546">
        <v>0</v>
      </c>
      <c r="F2340" s="3543"/>
      <c r="G2340" s="3544"/>
      <c r="H2340" s="3545" t="e">
        <f t="shared" si="152"/>
        <v>#DIV/0!</v>
      </c>
    </row>
    <row r="2341" spans="1:8" ht="15.75" hidden="1" customHeight="1" thickBot="1">
      <c r="A2341" s="1556"/>
      <c r="B2341" s="1750"/>
      <c r="C2341" s="3547" t="s">
        <v>829</v>
      </c>
      <c r="D2341" s="3549" t="s">
        <v>697</v>
      </c>
      <c r="E2341" s="3546">
        <v>0</v>
      </c>
      <c r="F2341" s="3543"/>
      <c r="G2341" s="3544"/>
      <c r="H2341" s="3545" t="e">
        <f t="shared" si="152"/>
        <v>#DIV/0!</v>
      </c>
    </row>
    <row r="2342" spans="1:8" ht="15.75" hidden="1" customHeight="1" thickBot="1">
      <c r="A2342" s="1556"/>
      <c r="B2342" s="1750"/>
      <c r="C2342" s="3547" t="s">
        <v>771</v>
      </c>
      <c r="D2342" s="3549" t="s">
        <v>697</v>
      </c>
      <c r="E2342" s="3546">
        <v>0</v>
      </c>
      <c r="F2342" s="3543"/>
      <c r="G2342" s="3544"/>
      <c r="H2342" s="3545" t="e">
        <f t="shared" si="152"/>
        <v>#DIV/0!</v>
      </c>
    </row>
    <row r="2343" spans="1:8" ht="27.75" hidden="1" customHeight="1" thickBot="1">
      <c r="A2343" s="1556"/>
      <c r="B2343" s="1750"/>
      <c r="C2343" s="3547" t="s">
        <v>830</v>
      </c>
      <c r="D2343" s="3549" t="s">
        <v>831</v>
      </c>
      <c r="E2343" s="3546">
        <v>0</v>
      </c>
      <c r="F2343" s="3543"/>
      <c r="G2343" s="3544"/>
      <c r="H2343" s="3545" t="e">
        <f t="shared" si="152"/>
        <v>#DIV/0!</v>
      </c>
    </row>
    <row r="2344" spans="1:8" ht="27" hidden="1" customHeight="1" thickBot="1">
      <c r="A2344" s="1556"/>
      <c r="B2344" s="1750"/>
      <c r="C2344" s="3547" t="s">
        <v>773</v>
      </c>
      <c r="D2344" s="3549" t="s">
        <v>831</v>
      </c>
      <c r="E2344" s="3546">
        <v>0</v>
      </c>
      <c r="F2344" s="3543"/>
      <c r="G2344" s="3544"/>
      <c r="H2344" s="3545" t="e">
        <f t="shared" si="152"/>
        <v>#DIV/0!</v>
      </c>
    </row>
    <row r="2345" spans="1:8" ht="15.75" hidden="1" customHeight="1" thickBot="1">
      <c r="A2345" s="1556"/>
      <c r="B2345" s="1750"/>
      <c r="C2345" s="3547" t="s">
        <v>832</v>
      </c>
      <c r="D2345" s="3549" t="s">
        <v>708</v>
      </c>
      <c r="E2345" s="3546">
        <v>0</v>
      </c>
      <c r="F2345" s="3543"/>
      <c r="G2345" s="3544"/>
      <c r="H2345" s="3545" t="e">
        <f t="shared" si="152"/>
        <v>#DIV/0!</v>
      </c>
    </row>
    <row r="2346" spans="1:8" ht="15.75" hidden="1" customHeight="1" thickBot="1">
      <c r="A2346" s="1556"/>
      <c r="B2346" s="1750"/>
      <c r="C2346" s="3550" t="s">
        <v>780</v>
      </c>
      <c r="D2346" s="3549" t="s">
        <v>708</v>
      </c>
      <c r="E2346" s="3546">
        <v>0</v>
      </c>
      <c r="F2346" s="3543"/>
      <c r="G2346" s="3544"/>
      <c r="H2346" s="3545" t="e">
        <f t="shared" si="152"/>
        <v>#DIV/0!</v>
      </c>
    </row>
    <row r="2347" spans="1:8" ht="15.75" hidden="1" customHeight="1" thickBot="1">
      <c r="A2347" s="1556"/>
      <c r="B2347" s="1750"/>
      <c r="C2347" s="3547" t="s">
        <v>833</v>
      </c>
      <c r="D2347" s="3549" t="s">
        <v>718</v>
      </c>
      <c r="E2347" s="3546">
        <v>0</v>
      </c>
      <c r="F2347" s="3543"/>
      <c r="G2347" s="3544"/>
      <c r="H2347" s="3545" t="e">
        <f t="shared" si="152"/>
        <v>#DIV/0!</v>
      </c>
    </row>
    <row r="2348" spans="1:8" ht="15" hidden="1" customHeight="1" thickBot="1">
      <c r="A2348" s="1556"/>
      <c r="B2348" s="1750"/>
      <c r="C2348" s="3551" t="s">
        <v>784</v>
      </c>
      <c r="D2348" s="3552" t="s">
        <v>718</v>
      </c>
      <c r="E2348" s="3546">
        <v>0</v>
      </c>
      <c r="F2348" s="3543"/>
      <c r="G2348" s="3544"/>
      <c r="H2348" s="3545" t="e">
        <f t="shared" si="152"/>
        <v>#DIV/0!</v>
      </c>
    </row>
    <row r="2349" spans="1:8" ht="15" hidden="1" customHeight="1" thickBot="1">
      <c r="A2349" s="1556"/>
      <c r="B2349" s="1750"/>
      <c r="C2349" s="2502" t="s">
        <v>1213</v>
      </c>
      <c r="D2349" s="3553" t="s">
        <v>730</v>
      </c>
      <c r="E2349" s="3546">
        <v>0</v>
      </c>
      <c r="F2349" s="3543"/>
      <c r="G2349" s="3544"/>
      <c r="H2349" s="3545" t="e">
        <f t="shared" si="152"/>
        <v>#DIV/0!</v>
      </c>
    </row>
    <row r="2350" spans="1:8" ht="15" hidden="1" customHeight="1" thickBot="1">
      <c r="A2350" s="1556"/>
      <c r="B2350" s="2496" t="s">
        <v>1258</v>
      </c>
      <c r="C2350" s="3113"/>
      <c r="D2350" s="2498" t="s">
        <v>1259</v>
      </c>
      <c r="E2350" s="2499">
        <v>0</v>
      </c>
      <c r="F2350" s="3543"/>
      <c r="G2350" s="3544"/>
      <c r="H2350" s="3545" t="e">
        <f t="shared" si="152"/>
        <v>#DIV/0!</v>
      </c>
    </row>
    <row r="2351" spans="1:8" ht="15" hidden="1" customHeight="1" thickBot="1">
      <c r="A2351" s="1556"/>
      <c r="B2351" s="1750"/>
      <c r="C2351" s="4376" t="s">
        <v>688</v>
      </c>
      <c r="D2351" s="4376"/>
      <c r="E2351" s="1828">
        <v>0</v>
      </c>
      <c r="F2351" s="3543"/>
      <c r="G2351" s="3544"/>
      <c r="H2351" s="3545" t="e">
        <f t="shared" si="152"/>
        <v>#DIV/0!</v>
      </c>
    </row>
    <row r="2352" spans="1:8" ht="15" hidden="1" customHeight="1" thickBot="1">
      <c r="A2352" s="1556"/>
      <c r="B2352" s="1750"/>
      <c r="C2352" s="4503" t="s">
        <v>761</v>
      </c>
      <c r="D2352" s="4503"/>
      <c r="E2352" s="3520">
        <v>0</v>
      </c>
      <c r="F2352" s="3543"/>
      <c r="G2352" s="3224"/>
      <c r="H2352" s="3545" t="e">
        <f t="shared" si="152"/>
        <v>#DIV/0!</v>
      </c>
    </row>
    <row r="2353" spans="1:8" ht="55.5" hidden="1" customHeight="1" thickBot="1">
      <c r="A2353" s="1556"/>
      <c r="B2353" s="1750"/>
      <c r="C2353" s="3547" t="s">
        <v>446</v>
      </c>
      <c r="D2353" s="3548" t="s">
        <v>764</v>
      </c>
      <c r="E2353" s="3019">
        <v>0</v>
      </c>
      <c r="F2353" s="3543"/>
      <c r="G2353" s="3224"/>
      <c r="H2353" s="3545" t="e">
        <f t="shared" si="152"/>
        <v>#DIV/0!</v>
      </c>
    </row>
    <row r="2354" spans="1:8" ht="16.5" hidden="1" customHeight="1" thickBot="1">
      <c r="A2354" s="1556"/>
      <c r="B2354" s="1750"/>
      <c r="C2354" s="3547" t="s">
        <v>827</v>
      </c>
      <c r="D2354" s="3549" t="s">
        <v>693</v>
      </c>
      <c r="E2354" s="3019">
        <v>0</v>
      </c>
      <c r="F2354" s="3543"/>
      <c r="G2354" s="3544"/>
      <c r="H2354" s="3545" t="e">
        <f t="shared" si="152"/>
        <v>#DIV/0!</v>
      </c>
    </row>
    <row r="2355" spans="1:8" ht="19.5" hidden="1" customHeight="1" thickBot="1">
      <c r="A2355" s="1556"/>
      <c r="B2355" s="1750"/>
      <c r="C2355" s="3547" t="s">
        <v>828</v>
      </c>
      <c r="D2355" s="3549" t="s">
        <v>695</v>
      </c>
      <c r="E2355" s="3019">
        <v>0</v>
      </c>
      <c r="F2355" s="3543"/>
      <c r="G2355" s="3544"/>
      <c r="H2355" s="3545" t="e">
        <f t="shared" si="152"/>
        <v>#DIV/0!</v>
      </c>
    </row>
    <row r="2356" spans="1:8" ht="19.5" hidden="1" customHeight="1" thickBot="1">
      <c r="A2356" s="1556"/>
      <c r="B2356" s="1750"/>
      <c r="C2356" s="3547" t="s">
        <v>829</v>
      </c>
      <c r="D2356" s="3549" t="s">
        <v>697</v>
      </c>
      <c r="E2356" s="3019">
        <v>0</v>
      </c>
      <c r="F2356" s="3543"/>
      <c r="G2356" s="3544"/>
      <c r="H2356" s="3545" t="e">
        <f t="shared" si="152"/>
        <v>#DIV/0!</v>
      </c>
    </row>
    <row r="2357" spans="1:8" ht="26.25" hidden="1" customHeight="1" thickBot="1">
      <c r="A2357" s="1556"/>
      <c r="B2357" s="1750"/>
      <c r="C2357" s="3547" t="s">
        <v>830</v>
      </c>
      <c r="D2357" s="3549" t="s">
        <v>831</v>
      </c>
      <c r="E2357" s="3019">
        <v>0</v>
      </c>
      <c r="F2357" s="3543"/>
      <c r="G2357" s="3544"/>
      <c r="H2357" s="3545" t="e">
        <f t="shared" si="152"/>
        <v>#DIV/0!</v>
      </c>
    </row>
    <row r="2358" spans="1:8" ht="18.75" hidden="1" customHeight="1" thickBot="1">
      <c r="A2358" s="1556"/>
      <c r="B2358" s="1750"/>
      <c r="C2358" s="3547" t="s">
        <v>970</v>
      </c>
      <c r="D2358" s="3549" t="s">
        <v>701</v>
      </c>
      <c r="E2358" s="3019">
        <v>0</v>
      </c>
      <c r="F2358" s="3543"/>
      <c r="G2358" s="3544"/>
      <c r="H2358" s="3545" t="e">
        <f t="shared" si="152"/>
        <v>#DIV/0!</v>
      </c>
    </row>
    <row r="2359" spans="1:8" ht="18" hidden="1" customHeight="1" thickBot="1">
      <c r="A2359" s="1556"/>
      <c r="B2359" s="1750"/>
      <c r="C2359" s="3547" t="s">
        <v>832</v>
      </c>
      <c r="D2359" s="3549" t="s">
        <v>708</v>
      </c>
      <c r="E2359" s="3019">
        <v>0</v>
      </c>
      <c r="F2359" s="3543"/>
      <c r="G2359" s="3544"/>
      <c r="H2359" s="3545" t="e">
        <f t="shared" si="152"/>
        <v>#DIV/0!</v>
      </c>
    </row>
    <row r="2360" spans="1:8" ht="16.5" hidden="1" customHeight="1" thickBot="1">
      <c r="A2360" s="1556"/>
      <c r="B2360" s="1750"/>
      <c r="C2360" s="3547" t="s">
        <v>1129</v>
      </c>
      <c r="D2360" s="3549" t="s">
        <v>943</v>
      </c>
      <c r="E2360" s="3019">
        <v>0</v>
      </c>
      <c r="F2360" s="3543"/>
      <c r="G2360" s="3544"/>
      <c r="H2360" s="3545" t="e">
        <f t="shared" si="152"/>
        <v>#DIV/0!</v>
      </c>
    </row>
    <row r="2361" spans="1:8" ht="16.5" hidden="1" customHeight="1" thickBot="1">
      <c r="A2361" s="1556"/>
      <c r="B2361" s="1750"/>
      <c r="C2361" s="1826" t="s">
        <v>1046</v>
      </c>
      <c r="D2361" s="1827" t="s">
        <v>712</v>
      </c>
      <c r="E2361" s="3019">
        <v>0</v>
      </c>
      <c r="F2361" s="3543"/>
      <c r="G2361" s="3544"/>
      <c r="H2361" s="3545" t="e">
        <f t="shared" si="152"/>
        <v>#DIV/0!</v>
      </c>
    </row>
    <row r="2362" spans="1:8" ht="18" hidden="1" customHeight="1" thickBot="1">
      <c r="A2362" s="1556"/>
      <c r="B2362" s="1750"/>
      <c r="C2362" s="3554" t="s">
        <v>1210</v>
      </c>
      <c r="D2362" s="3555" t="s">
        <v>716</v>
      </c>
      <c r="E2362" s="3019">
        <v>0</v>
      </c>
      <c r="F2362" s="3543"/>
      <c r="G2362" s="3544"/>
      <c r="H2362" s="3545" t="e">
        <f t="shared" si="152"/>
        <v>#DIV/0!</v>
      </c>
    </row>
    <row r="2363" spans="1:8" ht="18" hidden="1" customHeight="1" thickBot="1">
      <c r="A2363" s="1556"/>
      <c r="B2363" s="1750"/>
      <c r="C2363" s="1826" t="s">
        <v>833</v>
      </c>
      <c r="D2363" s="3555" t="s">
        <v>718</v>
      </c>
      <c r="E2363" s="3019">
        <v>0</v>
      </c>
      <c r="F2363" s="3543"/>
      <c r="G2363" s="3544"/>
      <c r="H2363" s="3545" t="e">
        <f t="shared" si="152"/>
        <v>#DIV/0!</v>
      </c>
    </row>
    <row r="2364" spans="1:8" ht="18.75" hidden="1" customHeight="1" thickBot="1">
      <c r="A2364" s="1556"/>
      <c r="B2364" s="1750"/>
      <c r="C2364" s="3554" t="s">
        <v>784</v>
      </c>
      <c r="D2364" s="3555" t="s">
        <v>718</v>
      </c>
      <c r="E2364" s="3019">
        <v>0</v>
      </c>
      <c r="F2364" s="3543"/>
      <c r="G2364" s="3544"/>
      <c r="H2364" s="3545" t="e">
        <f t="shared" si="152"/>
        <v>#DIV/0!</v>
      </c>
    </row>
    <row r="2365" spans="1:8" ht="20.25" hidden="1" customHeight="1" thickBot="1">
      <c r="A2365" s="1556"/>
      <c r="B2365" s="1750"/>
      <c r="C2365" s="1826" t="s">
        <v>1050</v>
      </c>
      <c r="D2365" s="1827" t="s">
        <v>720</v>
      </c>
      <c r="E2365" s="3019">
        <v>0</v>
      </c>
      <c r="F2365" s="3543"/>
      <c r="G2365" s="3544"/>
      <c r="H2365" s="3545" t="e">
        <f t="shared" si="152"/>
        <v>#DIV/0!</v>
      </c>
    </row>
    <row r="2366" spans="1:8" ht="19.5" hidden="1" customHeight="1" thickBot="1">
      <c r="A2366" s="1556"/>
      <c r="B2366" s="1750"/>
      <c r="C2366" s="3554" t="s">
        <v>835</v>
      </c>
      <c r="D2366" s="3556" t="s">
        <v>726</v>
      </c>
      <c r="E2366" s="3019">
        <v>0</v>
      </c>
      <c r="F2366" s="3543"/>
      <c r="G2366" s="3544"/>
      <c r="H2366" s="3545" t="e">
        <f t="shared" si="152"/>
        <v>#DIV/0!</v>
      </c>
    </row>
    <row r="2367" spans="1:8" ht="20.25" hidden="1" customHeight="1" thickBot="1">
      <c r="A2367" s="1556"/>
      <c r="B2367" s="1750"/>
      <c r="C2367" s="1826" t="s">
        <v>1212</v>
      </c>
      <c r="D2367" s="1827" t="s">
        <v>730</v>
      </c>
      <c r="E2367" s="3019">
        <v>0</v>
      </c>
      <c r="F2367" s="3543"/>
      <c r="G2367" s="3544"/>
      <c r="H2367" s="3545" t="e">
        <f t="shared" si="152"/>
        <v>#DIV/0!</v>
      </c>
    </row>
    <row r="2368" spans="1:8" ht="19.5" hidden="1" customHeight="1" thickBot="1">
      <c r="A2368" s="1556"/>
      <c r="B2368" s="1750"/>
      <c r="C2368" s="3554" t="s">
        <v>1214</v>
      </c>
      <c r="D2368" s="3556" t="s">
        <v>732</v>
      </c>
      <c r="E2368" s="3019">
        <v>0</v>
      </c>
      <c r="F2368" s="3543"/>
      <c r="G2368" s="3544"/>
      <c r="H2368" s="3545" t="e">
        <f t="shared" si="152"/>
        <v>#DIV/0!</v>
      </c>
    </row>
    <row r="2369" spans="1:10" ht="18.75" hidden="1" customHeight="1" thickBot="1">
      <c r="A2369" s="1556"/>
      <c r="B2369" s="1750"/>
      <c r="C2369" s="1826" t="s">
        <v>1216</v>
      </c>
      <c r="D2369" s="1827" t="s">
        <v>736</v>
      </c>
      <c r="E2369" s="3019">
        <v>0</v>
      </c>
      <c r="F2369" s="3543"/>
      <c r="G2369" s="3544"/>
      <c r="H2369" s="3545" t="e">
        <f t="shared" si="152"/>
        <v>#DIV/0!</v>
      </c>
    </row>
    <row r="2370" spans="1:10" ht="15" hidden="1" customHeight="1" thickBot="1">
      <c r="A2370" s="1556"/>
      <c r="B2370" s="1750"/>
      <c r="C2370" s="4504"/>
      <c r="D2370" s="4505"/>
      <c r="E2370" s="3557"/>
      <c r="F2370" s="3543"/>
      <c r="G2370" s="3544"/>
      <c r="H2370" s="3545" t="e">
        <f t="shared" si="152"/>
        <v>#DIV/0!</v>
      </c>
    </row>
    <row r="2371" spans="1:10" ht="15" hidden="1" customHeight="1" thickBot="1">
      <c r="A2371" s="1556"/>
      <c r="B2371" s="1750"/>
      <c r="C2371" s="4506" t="s">
        <v>744</v>
      </c>
      <c r="D2371" s="4506"/>
      <c r="E2371" s="1828">
        <v>0</v>
      </c>
      <c r="F2371" s="3543"/>
      <c r="G2371" s="3558"/>
      <c r="H2371" s="3545" t="e">
        <f t="shared" si="152"/>
        <v>#DIV/0!</v>
      </c>
    </row>
    <row r="2372" spans="1:10" ht="18" hidden="1" customHeight="1" thickBot="1">
      <c r="A2372" s="1556"/>
      <c r="B2372" s="1750"/>
      <c r="C2372" s="4507" t="s">
        <v>745</v>
      </c>
      <c r="D2372" s="4507"/>
      <c r="E2372" s="3557">
        <v>0</v>
      </c>
      <c r="F2372" s="3543"/>
      <c r="G2372" s="3544"/>
      <c r="H2372" s="3545" t="e">
        <f t="shared" si="152"/>
        <v>#DIV/0!</v>
      </c>
    </row>
    <row r="2373" spans="1:10" ht="16.5" hidden="1" customHeight="1" thickBot="1">
      <c r="A2373" s="1556"/>
      <c r="B2373" s="1750"/>
      <c r="C2373" s="3559" t="s">
        <v>855</v>
      </c>
      <c r="D2373" s="3560" t="s">
        <v>747</v>
      </c>
      <c r="E2373" s="3557">
        <v>0</v>
      </c>
      <c r="F2373" s="3543"/>
      <c r="G2373" s="3558"/>
      <c r="H2373" s="3545" t="e">
        <f t="shared" si="152"/>
        <v>#DIV/0!</v>
      </c>
    </row>
    <row r="2374" spans="1:10" ht="18.75" hidden="1" customHeight="1" thickBot="1">
      <c r="A2374" s="1556"/>
      <c r="B2374" s="1750"/>
      <c r="C2374" s="3559" t="s">
        <v>838</v>
      </c>
      <c r="D2374" s="3560" t="s">
        <v>801</v>
      </c>
      <c r="E2374" s="3557">
        <v>0</v>
      </c>
      <c r="F2374" s="3543"/>
      <c r="G2374" s="3544"/>
      <c r="H2374" s="3545" t="e">
        <f t="shared" si="152"/>
        <v>#DIV/0!</v>
      </c>
    </row>
    <row r="2375" spans="1:10" ht="16.5" hidden="1" customHeight="1" thickBot="1">
      <c r="A2375" s="1556"/>
      <c r="B2375" s="1750"/>
      <c r="C2375" s="3559" t="s">
        <v>853</v>
      </c>
      <c r="D2375" s="3560" t="s">
        <v>801</v>
      </c>
      <c r="E2375" s="3557">
        <v>0</v>
      </c>
      <c r="F2375" s="3543"/>
      <c r="G2375" s="3558"/>
      <c r="H2375" s="3545" t="e">
        <f t="shared" si="152"/>
        <v>#DIV/0!</v>
      </c>
    </row>
    <row r="2376" spans="1:10" ht="15" hidden="1" customHeight="1" thickBot="1">
      <c r="A2376" s="1556"/>
      <c r="B2376" s="1750"/>
      <c r="C2376" s="4508"/>
      <c r="D2376" s="4509"/>
      <c r="E2376" s="3561"/>
      <c r="F2376" s="3543"/>
      <c r="G2376" s="3558"/>
      <c r="H2376" s="3545" t="e">
        <f t="shared" ref="H2376:H2390" si="156">G2376/F2376</f>
        <v>#DIV/0!</v>
      </c>
    </row>
    <row r="2377" spans="1:10" ht="16.5" hidden="1" customHeight="1" thickBot="1">
      <c r="A2377" s="1556"/>
      <c r="B2377" s="1750"/>
      <c r="C2377" s="4498" t="s">
        <v>758</v>
      </c>
      <c r="D2377" s="4499"/>
      <c r="E2377" s="3562">
        <v>0</v>
      </c>
      <c r="F2377" s="3543"/>
      <c r="G2377" s="3558"/>
      <c r="H2377" s="3545" t="e">
        <f t="shared" si="156"/>
        <v>#DIV/0!</v>
      </c>
    </row>
    <row r="2378" spans="1:10" ht="18.75" hidden="1" customHeight="1" thickBot="1">
      <c r="A2378" s="1556"/>
      <c r="B2378" s="1750"/>
      <c r="C2378" s="3554" t="s">
        <v>855</v>
      </c>
      <c r="D2378" s="3556" t="s">
        <v>747</v>
      </c>
      <c r="E2378" s="3563">
        <v>0</v>
      </c>
      <c r="F2378" s="3543"/>
      <c r="G2378" s="3558"/>
      <c r="H2378" s="3545" t="e">
        <f t="shared" si="156"/>
        <v>#DIV/0!</v>
      </c>
    </row>
    <row r="2379" spans="1:10" ht="18" hidden="1" customHeight="1" thickBot="1">
      <c r="A2379" s="1556"/>
      <c r="B2379" s="1750"/>
      <c r="C2379" s="1826" t="s">
        <v>838</v>
      </c>
      <c r="D2379" s="1827" t="s">
        <v>801</v>
      </c>
      <c r="E2379" s="3563">
        <v>0</v>
      </c>
      <c r="F2379" s="3543"/>
      <c r="G2379" s="3558"/>
      <c r="H2379" s="3545" t="e">
        <f t="shared" si="156"/>
        <v>#DIV/0!</v>
      </c>
    </row>
    <row r="2380" spans="1:10" ht="17.25" hidden="1" customHeight="1" thickBot="1">
      <c r="A2380" s="1556"/>
      <c r="B2380" s="1750"/>
      <c r="C2380" s="2502" t="s">
        <v>853</v>
      </c>
      <c r="D2380" s="3553" t="s">
        <v>801</v>
      </c>
      <c r="E2380" s="3563">
        <v>0</v>
      </c>
      <c r="F2380" s="3543"/>
      <c r="G2380" s="3558"/>
      <c r="H2380" s="3564" t="e">
        <f t="shared" si="156"/>
        <v>#DIV/0!</v>
      </c>
    </row>
    <row r="2381" spans="1:10" s="1622" customFormat="1" ht="15.75" customHeight="1" thickBot="1">
      <c r="A2381" s="1631"/>
      <c r="B2381" s="1624" t="s">
        <v>1260</v>
      </c>
      <c r="C2381" s="1625"/>
      <c r="D2381" s="1626" t="s">
        <v>642</v>
      </c>
      <c r="E2381" s="1627">
        <f>SUM(E2382)</f>
        <v>1596000</v>
      </c>
      <c r="F2381" s="1628">
        <f>SUM(F2382)</f>
        <v>1596000</v>
      </c>
      <c r="G2381" s="1629">
        <f>SUM(G2382)</f>
        <v>1758000</v>
      </c>
      <c r="H2381" s="1630">
        <f t="shared" si="156"/>
        <v>1.1015037593984962</v>
      </c>
      <c r="J2381" s="1370"/>
    </row>
    <row r="2382" spans="1:10" s="1622" customFormat="1" ht="15.75" customHeight="1">
      <c r="A2382" s="1631"/>
      <c r="B2382" s="1653"/>
      <c r="C2382" s="4426" t="s">
        <v>688</v>
      </c>
      <c r="D2382" s="4426"/>
      <c r="E2382" s="2506">
        <f>SUM(E2383,E2409)</f>
        <v>1596000</v>
      </c>
      <c r="F2382" s="1634">
        <f>SUM(F2383,F2409)</f>
        <v>1596000</v>
      </c>
      <c r="G2382" s="2507">
        <f>SUM(G2383,G2409)</f>
        <v>1758000</v>
      </c>
      <c r="H2382" s="1636">
        <f t="shared" si="156"/>
        <v>1.1015037593984962</v>
      </c>
      <c r="J2382" s="1370" t="s">
        <v>931</v>
      </c>
    </row>
    <row r="2383" spans="1:10" s="1622" customFormat="1" ht="15.75" customHeight="1">
      <c r="A2383" s="1631"/>
      <c r="B2383" s="1653"/>
      <c r="C2383" s="4490" t="s">
        <v>689</v>
      </c>
      <c r="D2383" s="4490"/>
      <c r="E2383" s="3565">
        <f>SUM(E2384,E2392)</f>
        <v>1591867</v>
      </c>
      <c r="F2383" s="3526">
        <f>SUM(F2384,F2392)</f>
        <v>1591867</v>
      </c>
      <c r="G2383" s="3566">
        <f>SUM(G2384,G2392)</f>
        <v>1750945</v>
      </c>
      <c r="H2383" s="3527">
        <f t="shared" si="156"/>
        <v>1.099931715400847</v>
      </c>
      <c r="J2383" s="1370"/>
    </row>
    <row r="2384" spans="1:10" s="1622" customFormat="1" ht="15.75" customHeight="1">
      <c r="A2384" s="1631"/>
      <c r="B2384" s="1653"/>
      <c r="C2384" s="4500" t="s">
        <v>690</v>
      </c>
      <c r="D2384" s="4500"/>
      <c r="E2384" s="3567">
        <f>SUM(E2385:E2390)</f>
        <v>1309501</v>
      </c>
      <c r="F2384" s="3529">
        <f>SUM(F2385:F2390)</f>
        <v>1309501</v>
      </c>
      <c r="G2384" s="3568">
        <f>SUM(G2385:G2390)</f>
        <v>1433568</v>
      </c>
      <c r="H2384" s="3531">
        <f t="shared" si="156"/>
        <v>1.0947437229906658</v>
      </c>
      <c r="J2384" s="1370"/>
    </row>
    <row r="2385" spans="1:10" s="1622" customFormat="1" ht="15.75" customHeight="1">
      <c r="A2385" s="1631"/>
      <c r="B2385" s="1653"/>
      <c r="C2385" s="3532" t="s">
        <v>692</v>
      </c>
      <c r="D2385" s="3533" t="s">
        <v>693</v>
      </c>
      <c r="E2385" s="3525">
        <v>1005494</v>
      </c>
      <c r="F2385" s="3526">
        <v>1005494</v>
      </c>
      <c r="G2385" s="3540">
        <v>1085195</v>
      </c>
      <c r="H2385" s="3527">
        <f t="shared" si="156"/>
        <v>1.0792655152591661</v>
      </c>
      <c r="J2385" s="1370"/>
    </row>
    <row r="2386" spans="1:10" s="1622" customFormat="1" ht="15.75" customHeight="1">
      <c r="A2386" s="1631"/>
      <c r="B2386" s="1653"/>
      <c r="C2386" s="3532" t="s">
        <v>694</v>
      </c>
      <c r="D2386" s="3533" t="s">
        <v>695</v>
      </c>
      <c r="E2386" s="3525">
        <v>86963</v>
      </c>
      <c r="F2386" s="3526">
        <v>86963</v>
      </c>
      <c r="G2386" s="3145">
        <v>111218</v>
      </c>
      <c r="H2386" s="3527">
        <f t="shared" si="156"/>
        <v>1.2789117210767798</v>
      </c>
      <c r="J2386" s="1370"/>
    </row>
    <row r="2387" spans="1:10" s="1622" customFormat="1" ht="15.75" customHeight="1">
      <c r="A2387" s="1631"/>
      <c r="B2387" s="1653"/>
      <c r="C2387" s="3532" t="s">
        <v>696</v>
      </c>
      <c r="D2387" s="3533" t="s">
        <v>697</v>
      </c>
      <c r="E2387" s="3525">
        <v>184831</v>
      </c>
      <c r="F2387" s="3526">
        <v>184831</v>
      </c>
      <c r="G2387" s="3145">
        <v>203864</v>
      </c>
      <c r="H2387" s="3527">
        <f t="shared" si="156"/>
        <v>1.102975150272411</v>
      </c>
      <c r="J2387" s="1370"/>
    </row>
    <row r="2388" spans="1:10" s="1622" customFormat="1" ht="16.5" customHeight="1">
      <c r="A2388" s="1631"/>
      <c r="B2388" s="1653"/>
      <c r="C2388" s="3532" t="s">
        <v>698</v>
      </c>
      <c r="D2388" s="3533" t="s">
        <v>699</v>
      </c>
      <c r="E2388" s="3525">
        <v>26638</v>
      </c>
      <c r="F2388" s="3526">
        <v>26638</v>
      </c>
      <c r="G2388" s="3540">
        <v>28920</v>
      </c>
      <c r="H2388" s="3527">
        <f t="shared" si="156"/>
        <v>1.0856670921240332</v>
      </c>
      <c r="J2388" s="1370"/>
    </row>
    <row r="2389" spans="1:10" ht="15.75" hidden="1" customHeight="1">
      <c r="A2389" s="1556"/>
      <c r="B2389" s="1750"/>
      <c r="C2389" s="3569" t="s">
        <v>700</v>
      </c>
      <c r="D2389" s="3570" t="s">
        <v>701</v>
      </c>
      <c r="E2389" s="3520">
        <v>0</v>
      </c>
      <c r="F2389" s="3543"/>
      <c r="G2389" s="3544">
        <v>0</v>
      </c>
      <c r="H2389" s="3545" t="e">
        <f t="shared" si="156"/>
        <v>#DIV/0!</v>
      </c>
    </row>
    <row r="2390" spans="1:10" s="1622" customFormat="1" ht="15.75" customHeight="1">
      <c r="A2390" s="1631"/>
      <c r="B2390" s="1653"/>
      <c r="C2390" s="3571" t="s">
        <v>702</v>
      </c>
      <c r="D2390" s="3572" t="s">
        <v>703</v>
      </c>
      <c r="E2390" s="3525">
        <v>5575</v>
      </c>
      <c r="F2390" s="3526">
        <v>5575</v>
      </c>
      <c r="G2390" s="3540">
        <v>4371</v>
      </c>
      <c r="H2390" s="3527">
        <f t="shared" si="156"/>
        <v>0.78403587443946188</v>
      </c>
      <c r="J2390" s="1370"/>
    </row>
    <row r="2391" spans="1:10" ht="15.75" customHeight="1">
      <c r="A2391" s="1556"/>
      <c r="B2391" s="1750"/>
      <c r="C2391" s="2366"/>
      <c r="D2391" s="2366"/>
      <c r="E2391" s="2367"/>
      <c r="F2391" s="3543"/>
      <c r="G2391" s="3544"/>
      <c r="H2391" s="3545"/>
    </row>
    <row r="2392" spans="1:10" s="1622" customFormat="1" ht="15.75" customHeight="1">
      <c r="A2392" s="1631"/>
      <c r="B2392" s="1653"/>
      <c r="C2392" s="4501" t="s">
        <v>704</v>
      </c>
      <c r="D2392" s="4501"/>
      <c r="E2392" s="3573">
        <f>SUM(E2393:E2407)</f>
        <v>282366</v>
      </c>
      <c r="F2392" s="3529">
        <f>SUM(F2393:F2407)</f>
        <v>282366</v>
      </c>
      <c r="G2392" s="3530">
        <f>SUM(G2393:G2407)</f>
        <v>317377</v>
      </c>
      <c r="H2392" s="3531">
        <f t="shared" ref="H2392:H2407" si="157">G2392/F2392</f>
        <v>1.1239915570571528</v>
      </c>
      <c r="J2392" s="1370"/>
    </row>
    <row r="2393" spans="1:10" s="1622" customFormat="1" ht="15.75" customHeight="1">
      <c r="A2393" s="1631"/>
      <c r="B2393" s="1653"/>
      <c r="C2393" s="3574" t="s">
        <v>705</v>
      </c>
      <c r="D2393" s="3575" t="s">
        <v>706</v>
      </c>
      <c r="E2393" s="3565">
        <v>3113</v>
      </c>
      <c r="F2393" s="3526">
        <v>3113</v>
      </c>
      <c r="G2393" s="3540">
        <v>4263</v>
      </c>
      <c r="H2393" s="3527">
        <f t="shared" si="157"/>
        <v>1.369418567298426</v>
      </c>
      <c r="J2393" s="1370"/>
    </row>
    <row r="2394" spans="1:10" s="1622" customFormat="1" ht="15.75" customHeight="1">
      <c r="A2394" s="1631"/>
      <c r="B2394" s="1653"/>
      <c r="C2394" s="3574" t="s">
        <v>707</v>
      </c>
      <c r="D2394" s="3575" t="s">
        <v>708</v>
      </c>
      <c r="E2394" s="3565">
        <v>80339</v>
      </c>
      <c r="F2394" s="3526">
        <v>80339</v>
      </c>
      <c r="G2394" s="3540">
        <v>70946</v>
      </c>
      <c r="H2394" s="3527">
        <f t="shared" si="157"/>
        <v>0.88308293605845234</v>
      </c>
      <c r="J2394" s="1370"/>
    </row>
    <row r="2395" spans="1:10" s="1622" customFormat="1" ht="15.75" customHeight="1">
      <c r="A2395" s="1631"/>
      <c r="B2395" s="1653"/>
      <c r="C2395" s="3574" t="s">
        <v>709</v>
      </c>
      <c r="D2395" s="3575" t="s">
        <v>710</v>
      </c>
      <c r="E2395" s="3565">
        <v>4500</v>
      </c>
      <c r="F2395" s="3526">
        <v>4500</v>
      </c>
      <c r="G2395" s="3540">
        <v>4500</v>
      </c>
      <c r="H2395" s="3527">
        <f t="shared" si="157"/>
        <v>1</v>
      </c>
      <c r="J2395" s="1370"/>
    </row>
    <row r="2396" spans="1:10" s="1622" customFormat="1" ht="15.75" customHeight="1">
      <c r="A2396" s="1631"/>
      <c r="B2396" s="1653"/>
      <c r="C2396" s="3574" t="s">
        <v>942</v>
      </c>
      <c r="D2396" s="3575" t="s">
        <v>943</v>
      </c>
      <c r="E2396" s="3565">
        <v>4240</v>
      </c>
      <c r="F2396" s="3526">
        <v>4240</v>
      </c>
      <c r="G2396" s="3540">
        <v>5000</v>
      </c>
      <c r="H2396" s="3527">
        <f t="shared" si="157"/>
        <v>1.179245283018868</v>
      </c>
      <c r="J2396" s="1370"/>
    </row>
    <row r="2397" spans="1:10" s="1622" customFormat="1" ht="15.75" customHeight="1">
      <c r="A2397" s="1631"/>
      <c r="B2397" s="1653"/>
      <c r="C2397" s="3574" t="s">
        <v>711</v>
      </c>
      <c r="D2397" s="3575" t="s">
        <v>712</v>
      </c>
      <c r="E2397" s="3565">
        <v>24040</v>
      </c>
      <c r="F2397" s="3526">
        <v>24040</v>
      </c>
      <c r="G2397" s="3540">
        <v>30973</v>
      </c>
      <c r="H2397" s="3527">
        <f t="shared" si="157"/>
        <v>1.2883943427620632</v>
      </c>
      <c r="J2397" s="1370"/>
    </row>
    <row r="2398" spans="1:10" s="1622" customFormat="1" ht="15.75" customHeight="1">
      <c r="A2398" s="1631"/>
      <c r="B2398" s="1653"/>
      <c r="C2398" s="3574" t="s">
        <v>713</v>
      </c>
      <c r="D2398" s="3575" t="s">
        <v>714</v>
      </c>
      <c r="E2398" s="3565">
        <v>9061</v>
      </c>
      <c r="F2398" s="3526">
        <v>9061</v>
      </c>
      <c r="G2398" s="3540">
        <v>14448</v>
      </c>
      <c r="H2398" s="3527">
        <f t="shared" si="157"/>
        <v>1.5945259905087739</v>
      </c>
      <c r="J2398" s="1370"/>
    </row>
    <row r="2399" spans="1:10" s="1622" customFormat="1" ht="15.75" customHeight="1">
      <c r="A2399" s="1631"/>
      <c r="B2399" s="1653"/>
      <c r="C2399" s="3574" t="s">
        <v>715</v>
      </c>
      <c r="D2399" s="3575" t="s">
        <v>716</v>
      </c>
      <c r="E2399" s="3565">
        <v>2110</v>
      </c>
      <c r="F2399" s="3526">
        <v>2110</v>
      </c>
      <c r="G2399" s="3540">
        <v>900</v>
      </c>
      <c r="H2399" s="3527">
        <f t="shared" si="157"/>
        <v>0.42654028436018959</v>
      </c>
      <c r="J2399" s="1370"/>
    </row>
    <row r="2400" spans="1:10" s="1622" customFormat="1" ht="15.75" customHeight="1">
      <c r="A2400" s="1631"/>
      <c r="B2400" s="1653"/>
      <c r="C2400" s="3574" t="s">
        <v>717</v>
      </c>
      <c r="D2400" s="3575" t="s">
        <v>718</v>
      </c>
      <c r="E2400" s="3565">
        <v>75957</v>
      </c>
      <c r="F2400" s="3526">
        <v>75957</v>
      </c>
      <c r="G2400" s="3540">
        <v>96752</v>
      </c>
      <c r="H2400" s="3527">
        <f t="shared" si="157"/>
        <v>1.2737733191147622</v>
      </c>
      <c r="J2400" s="1370"/>
    </row>
    <row r="2401" spans="1:10" s="1622" customFormat="1" ht="15.75" customHeight="1">
      <c r="A2401" s="1653"/>
      <c r="B2401" s="3266"/>
      <c r="C2401" s="3576" t="s">
        <v>719</v>
      </c>
      <c r="D2401" s="3577" t="s">
        <v>947</v>
      </c>
      <c r="E2401" s="3440">
        <v>4601</v>
      </c>
      <c r="F2401" s="3423">
        <v>4601</v>
      </c>
      <c r="G2401" s="3145">
        <v>5133</v>
      </c>
      <c r="H2401" s="3424">
        <f t="shared" si="157"/>
        <v>1.1156270376005217</v>
      </c>
      <c r="J2401" s="1370"/>
    </row>
    <row r="2402" spans="1:10" s="1622" customFormat="1" ht="15.75" customHeight="1">
      <c r="A2402" s="1631"/>
      <c r="B2402" s="3266"/>
      <c r="C2402" s="1664" t="s">
        <v>725</v>
      </c>
      <c r="D2402" s="2447" t="s">
        <v>726</v>
      </c>
      <c r="E2402" s="2459">
        <v>6804</v>
      </c>
      <c r="F2402" s="1859">
        <v>6804</v>
      </c>
      <c r="G2402" s="2558">
        <v>6804</v>
      </c>
      <c r="H2402" s="1659">
        <f t="shared" si="157"/>
        <v>1</v>
      </c>
      <c r="J2402" s="1370"/>
    </row>
    <row r="2403" spans="1:10" s="1622" customFormat="1" ht="15.75" customHeight="1">
      <c r="A2403" s="1631"/>
      <c r="B2403" s="3266"/>
      <c r="C2403" s="3578" t="s">
        <v>727</v>
      </c>
      <c r="D2403" s="3420" t="s">
        <v>728</v>
      </c>
      <c r="E2403" s="3440">
        <v>3319</v>
      </c>
      <c r="F2403" s="3423">
        <v>3319</v>
      </c>
      <c r="G2403" s="3145">
        <v>4363</v>
      </c>
      <c r="H2403" s="3424">
        <f t="shared" si="157"/>
        <v>1.3145525760771317</v>
      </c>
      <c r="J2403" s="1370"/>
    </row>
    <row r="2404" spans="1:10" s="1622" customFormat="1" ht="15.75" customHeight="1">
      <c r="A2404" s="1631"/>
      <c r="B2404" s="3266"/>
      <c r="C2404" s="3579" t="s">
        <v>729</v>
      </c>
      <c r="D2404" s="3393" t="s">
        <v>730</v>
      </c>
      <c r="E2404" s="3440">
        <v>31597</v>
      </c>
      <c r="F2404" s="3423">
        <v>31597</v>
      </c>
      <c r="G2404" s="3145">
        <v>32427</v>
      </c>
      <c r="H2404" s="3424">
        <f t="shared" si="157"/>
        <v>1.0262683166123365</v>
      </c>
      <c r="J2404" s="1370"/>
    </row>
    <row r="2405" spans="1:10" s="1622" customFormat="1" ht="15.75" customHeight="1">
      <c r="A2405" s="1631"/>
      <c r="B2405" s="3266"/>
      <c r="C2405" s="3579" t="s">
        <v>731</v>
      </c>
      <c r="D2405" s="3393" t="s">
        <v>732</v>
      </c>
      <c r="E2405" s="3440">
        <v>4234</v>
      </c>
      <c r="F2405" s="3423">
        <v>4234</v>
      </c>
      <c r="G2405" s="3145">
        <v>5311</v>
      </c>
      <c r="H2405" s="3424">
        <f t="shared" si="157"/>
        <v>1.2543693906471423</v>
      </c>
      <c r="J2405" s="1370"/>
    </row>
    <row r="2406" spans="1:10" s="1622" customFormat="1" ht="15.75" customHeight="1">
      <c r="A2406" s="1631"/>
      <c r="B2406" s="3266"/>
      <c r="C2406" s="3392" t="s">
        <v>735</v>
      </c>
      <c r="D2406" s="3393" t="s">
        <v>1245</v>
      </c>
      <c r="E2406" s="3440">
        <v>3851</v>
      </c>
      <c r="F2406" s="3423">
        <v>3851</v>
      </c>
      <c r="G2406" s="3145">
        <v>4887</v>
      </c>
      <c r="H2406" s="3424">
        <f t="shared" si="157"/>
        <v>1.2690210334977927</v>
      </c>
      <c r="J2406" s="1370"/>
    </row>
    <row r="2407" spans="1:10" s="1622" customFormat="1" ht="16.5" customHeight="1">
      <c r="A2407" s="1631"/>
      <c r="B2407" s="3266"/>
      <c r="C2407" s="3392" t="s">
        <v>739</v>
      </c>
      <c r="D2407" s="3393" t="s">
        <v>1021</v>
      </c>
      <c r="E2407" s="3440">
        <v>24600</v>
      </c>
      <c r="F2407" s="3423">
        <v>24600</v>
      </c>
      <c r="G2407" s="3145">
        <v>30670</v>
      </c>
      <c r="H2407" s="3424">
        <f t="shared" si="157"/>
        <v>1.2467479674796749</v>
      </c>
      <c r="J2407" s="1370"/>
    </row>
    <row r="2408" spans="1:10" ht="15.75" customHeight="1">
      <c r="A2408" s="1556"/>
      <c r="B2408" s="3266"/>
      <c r="C2408" s="2366"/>
      <c r="D2408" s="2366"/>
      <c r="E2408" s="2367"/>
      <c r="F2408" s="3580"/>
      <c r="G2408" s="3224"/>
      <c r="H2408" s="3581"/>
    </row>
    <row r="2409" spans="1:10" s="1622" customFormat="1" ht="15.75" customHeight="1">
      <c r="A2409" s="1631"/>
      <c r="B2409" s="3266"/>
      <c r="C2409" s="4502" t="s">
        <v>741</v>
      </c>
      <c r="D2409" s="4502"/>
      <c r="E2409" s="3565">
        <f>SUM(E2410)</f>
        <v>4133</v>
      </c>
      <c r="F2409" s="3526">
        <f>SUM(F2410)</f>
        <v>4133</v>
      </c>
      <c r="G2409" s="3566">
        <f>SUM(G2410)</f>
        <v>7055</v>
      </c>
      <c r="H2409" s="3527">
        <f t="shared" ref="H2409:H2415" si="158">G2409/F2409</f>
        <v>1.7069924993951124</v>
      </c>
      <c r="J2409" s="1370"/>
    </row>
    <row r="2410" spans="1:10" s="1622" customFormat="1" ht="15.75" customHeight="1" thickBot="1">
      <c r="A2410" s="1631"/>
      <c r="B2410" s="3304"/>
      <c r="C2410" s="3582" t="s">
        <v>742</v>
      </c>
      <c r="D2410" s="3583" t="s">
        <v>743</v>
      </c>
      <c r="E2410" s="3584">
        <v>4133</v>
      </c>
      <c r="F2410" s="1676">
        <v>4133</v>
      </c>
      <c r="G2410" s="3585">
        <v>7055</v>
      </c>
      <c r="H2410" s="1678">
        <f t="shared" si="158"/>
        <v>1.7069924993951124</v>
      </c>
      <c r="J2410" s="1370"/>
    </row>
    <row r="2411" spans="1:10" s="1622" customFormat="1" ht="15.75" customHeight="1" thickBot="1">
      <c r="A2411" s="1653"/>
      <c r="B2411" s="1624" t="s">
        <v>1261</v>
      </c>
      <c r="C2411" s="1625"/>
      <c r="D2411" s="1626" t="s">
        <v>1262</v>
      </c>
      <c r="E2411" s="1627">
        <f>SUM(E2412)</f>
        <v>4391833</v>
      </c>
      <c r="F2411" s="1628">
        <f>SUM(F2412)</f>
        <v>4391833</v>
      </c>
      <c r="G2411" s="1629">
        <f>SUM(G2412)</f>
        <v>6753187</v>
      </c>
      <c r="H2411" s="1630">
        <f t="shared" si="158"/>
        <v>1.5376693512708703</v>
      </c>
      <c r="J2411" s="1370"/>
    </row>
    <row r="2412" spans="1:10" s="1622" customFormat="1" ht="15.75" customHeight="1">
      <c r="A2412" s="1631"/>
      <c r="B2412" s="2520"/>
      <c r="C2412" s="4426" t="s">
        <v>688</v>
      </c>
      <c r="D2412" s="4426"/>
      <c r="E2412" s="2506">
        <f>SUM(E2413,E2417)</f>
        <v>4391833</v>
      </c>
      <c r="F2412" s="1634">
        <f>SUM(F2413,F2417)</f>
        <v>4391833</v>
      </c>
      <c r="G2412" s="2507">
        <f>SUM(G2413,G2417)</f>
        <v>6753187</v>
      </c>
      <c r="H2412" s="1636">
        <f t="shared" si="158"/>
        <v>1.5376693512708703</v>
      </c>
      <c r="J2412" s="1370" t="s">
        <v>931</v>
      </c>
    </row>
    <row r="2413" spans="1:10" s="1622" customFormat="1" ht="15.75" customHeight="1">
      <c r="A2413" s="1631"/>
      <c r="B2413" s="2520"/>
      <c r="C2413" s="4490" t="s">
        <v>689</v>
      </c>
      <c r="D2413" s="4490"/>
      <c r="E2413" s="3586">
        <f t="shared" ref="E2413:G2414" si="159">SUM(E2414)</f>
        <v>1071</v>
      </c>
      <c r="F2413" s="3526">
        <f t="shared" si="159"/>
        <v>1071</v>
      </c>
      <c r="G2413" s="3538">
        <f t="shared" si="159"/>
        <v>1232</v>
      </c>
      <c r="H2413" s="3527">
        <f t="shared" si="158"/>
        <v>1.1503267973856208</v>
      </c>
      <c r="J2413" s="1370"/>
    </row>
    <row r="2414" spans="1:10" s="1622" customFormat="1" ht="15.75" customHeight="1">
      <c r="A2414" s="1631"/>
      <c r="B2414" s="2520"/>
      <c r="C2414" s="4491" t="s">
        <v>704</v>
      </c>
      <c r="D2414" s="4491"/>
      <c r="E2414" s="3587">
        <f t="shared" si="159"/>
        <v>1071</v>
      </c>
      <c r="F2414" s="3529">
        <f t="shared" si="159"/>
        <v>1071</v>
      </c>
      <c r="G2414" s="3588">
        <f t="shared" si="159"/>
        <v>1232</v>
      </c>
      <c r="H2414" s="3531">
        <f t="shared" si="158"/>
        <v>1.1503267973856208</v>
      </c>
      <c r="J2414" s="1370"/>
    </row>
    <row r="2415" spans="1:10" s="1622" customFormat="1" ht="15.75" customHeight="1">
      <c r="A2415" s="1631"/>
      <c r="B2415" s="2520"/>
      <c r="C2415" s="3589" t="s">
        <v>707</v>
      </c>
      <c r="D2415" s="3590" t="s">
        <v>708</v>
      </c>
      <c r="E2415" s="3591">
        <v>1071</v>
      </c>
      <c r="F2415" s="3526">
        <v>1071</v>
      </c>
      <c r="G2415" s="3592">
        <v>1232</v>
      </c>
      <c r="H2415" s="3527">
        <f t="shared" si="158"/>
        <v>1.1503267973856208</v>
      </c>
      <c r="J2415" s="1370"/>
    </row>
    <row r="2416" spans="1:10" s="1622" customFormat="1" ht="13.5" thickBot="1">
      <c r="A2416" s="1673"/>
      <c r="B2416" s="3593"/>
      <c r="C2416" s="4492"/>
      <c r="D2416" s="4493"/>
      <c r="E2416" s="3584"/>
      <c r="F2416" s="1676"/>
      <c r="G2416" s="3585"/>
      <c r="H2416" s="1678"/>
      <c r="J2416" s="1370"/>
    </row>
    <row r="2417" spans="1:10" s="1622" customFormat="1" ht="16.5" customHeight="1">
      <c r="A2417" s="1894"/>
      <c r="B2417" s="3594"/>
      <c r="C2417" s="4494" t="s">
        <v>797</v>
      </c>
      <c r="D2417" s="4495"/>
      <c r="E2417" s="2467">
        <f>SUM(E2418)</f>
        <v>4390762</v>
      </c>
      <c r="F2417" s="2468">
        <f>SUM(F2418)</f>
        <v>4390762</v>
      </c>
      <c r="G2417" s="3595">
        <f>SUM(G2418)</f>
        <v>6751955</v>
      </c>
      <c r="H2417" s="2470">
        <f t="shared" ref="H2417:H2442" si="160">G2417/F2417</f>
        <v>1.537763832337075</v>
      </c>
      <c r="J2417" s="1370"/>
    </row>
    <row r="2418" spans="1:10" s="1622" customFormat="1" ht="58.5" customHeight="1" thickBot="1">
      <c r="A2418" s="1673"/>
      <c r="B2418" s="3593"/>
      <c r="C2418" s="3596" t="s">
        <v>374</v>
      </c>
      <c r="D2418" s="3597" t="s">
        <v>817</v>
      </c>
      <c r="E2418" s="3598">
        <v>4390762</v>
      </c>
      <c r="F2418" s="1676">
        <v>4390762</v>
      </c>
      <c r="G2418" s="3599">
        <v>6751955</v>
      </c>
      <c r="H2418" s="1678">
        <f t="shared" si="160"/>
        <v>1.537763832337075</v>
      </c>
      <c r="J2418" s="1370"/>
    </row>
    <row r="2419" spans="1:10" ht="53.25" hidden="1" customHeight="1">
      <c r="A2419" s="1556"/>
      <c r="B2419" s="1750"/>
      <c r="C2419" s="3600" t="s">
        <v>309</v>
      </c>
      <c r="D2419" s="1827" t="s">
        <v>341</v>
      </c>
      <c r="E2419" s="3019">
        <v>0</v>
      </c>
      <c r="F2419" s="1909"/>
      <c r="G2419" s="2368"/>
      <c r="H2419" s="1942" t="e">
        <f t="shared" si="160"/>
        <v>#DIV/0!</v>
      </c>
    </row>
    <row r="2420" spans="1:10" ht="17.25" hidden="1" customHeight="1" thickBot="1">
      <c r="A2420" s="1556"/>
      <c r="B2420" s="1750"/>
      <c r="C2420" s="3601" t="s">
        <v>355</v>
      </c>
      <c r="D2420" s="3602" t="s">
        <v>852</v>
      </c>
      <c r="E2420" s="1828">
        <v>0</v>
      </c>
      <c r="F2420" s="3603"/>
      <c r="G2420" s="1956"/>
      <c r="H2420" s="3354" t="e">
        <f t="shared" si="160"/>
        <v>#DIV/0!</v>
      </c>
    </row>
    <row r="2421" spans="1:10" s="1370" customFormat="1" ht="17.100000000000001" customHeight="1" thickBot="1">
      <c r="A2421" s="3604" t="s">
        <v>1263</v>
      </c>
      <c r="B2421" s="3605"/>
      <c r="C2421" s="3606"/>
      <c r="D2421" s="3607" t="s">
        <v>1264</v>
      </c>
      <c r="E2421" s="3608">
        <f>SUM(E2429,E2436,E2446,E2460,E2475,E2486,E2497,E2508)</f>
        <v>849123</v>
      </c>
      <c r="F2421" s="3609">
        <f>SUM(F2429,F2436,F2446,F2460,F2475,F2486,F2497,F2508)</f>
        <v>1685212</v>
      </c>
      <c r="G2421" s="3610">
        <f>SUM(G2429,G2436,G2446,G2460,G2475,G2486,G2497,G2508)</f>
        <v>1198916</v>
      </c>
      <c r="H2421" s="1602">
        <f t="shared" si="160"/>
        <v>0.71143333895082639</v>
      </c>
    </row>
    <row r="2422" spans="1:10" s="1370" customFormat="1" ht="17.100000000000001" hidden="1" customHeight="1" thickBot="1">
      <c r="A2422" s="1408"/>
      <c r="B2422" s="1500" t="s">
        <v>1265</v>
      </c>
      <c r="C2422" s="1501"/>
      <c r="D2422" s="1502" t="s">
        <v>1266</v>
      </c>
      <c r="E2422" s="1503">
        <v>0</v>
      </c>
      <c r="F2422" s="1504">
        <v>0</v>
      </c>
      <c r="G2422" s="1505">
        <v>0</v>
      </c>
      <c r="H2422" s="1509" t="e">
        <f t="shared" si="160"/>
        <v>#DIV/0!</v>
      </c>
    </row>
    <row r="2423" spans="1:10" s="1370" customFormat="1" ht="17.100000000000001" hidden="1" customHeight="1" thickBot="1">
      <c r="A2423" s="1408"/>
      <c r="B2423" s="1429"/>
      <c r="C2423" s="4496" t="s">
        <v>688</v>
      </c>
      <c r="D2423" s="4497"/>
      <c r="E2423" s="2946">
        <v>0</v>
      </c>
      <c r="F2423" s="1418">
        <v>0</v>
      </c>
      <c r="G2423" s="2947">
        <v>0</v>
      </c>
      <c r="H2423" s="3611" t="e">
        <f t="shared" si="160"/>
        <v>#DIV/0!</v>
      </c>
    </row>
    <row r="2424" spans="1:10" s="1370" customFormat="1" ht="17.100000000000001" hidden="1" customHeight="1" thickBot="1">
      <c r="A2424" s="1408"/>
      <c r="B2424" s="1429"/>
      <c r="C2424" s="4488" t="s">
        <v>689</v>
      </c>
      <c r="D2424" s="4488"/>
      <c r="E2424" s="3612">
        <v>0</v>
      </c>
      <c r="F2424" s="3613">
        <v>0</v>
      </c>
      <c r="G2424" s="3614">
        <v>0</v>
      </c>
      <c r="H2424" s="3611" t="e">
        <f t="shared" si="160"/>
        <v>#DIV/0!</v>
      </c>
    </row>
    <row r="2425" spans="1:10" s="1370" customFormat="1" ht="17.100000000000001" hidden="1" customHeight="1" thickBot="1">
      <c r="A2425" s="1408"/>
      <c r="B2425" s="1429"/>
      <c r="C2425" s="4385" t="s">
        <v>690</v>
      </c>
      <c r="D2425" s="4385"/>
      <c r="E2425" s="3612">
        <v>0</v>
      </c>
      <c r="F2425" s="3613">
        <v>0</v>
      </c>
      <c r="G2425" s="3615">
        <v>0</v>
      </c>
      <c r="H2425" s="3611" t="e">
        <f t="shared" si="160"/>
        <v>#DIV/0!</v>
      </c>
    </row>
    <row r="2426" spans="1:10" s="1370" customFormat="1" ht="17.100000000000001" hidden="1" customHeight="1" thickBot="1">
      <c r="A2426" s="1408"/>
      <c r="B2426" s="1429"/>
      <c r="C2426" s="3616" t="s">
        <v>692</v>
      </c>
      <c r="D2426" s="3617" t="s">
        <v>693</v>
      </c>
      <c r="E2426" s="3612">
        <v>0</v>
      </c>
      <c r="F2426" s="3613">
        <v>0</v>
      </c>
      <c r="G2426" s="3615">
        <v>0</v>
      </c>
      <c r="H2426" s="3611" t="e">
        <f t="shared" si="160"/>
        <v>#DIV/0!</v>
      </c>
    </row>
    <row r="2427" spans="1:10" s="1370" customFormat="1" ht="17.100000000000001" hidden="1" customHeight="1" thickBot="1">
      <c r="A2427" s="1408"/>
      <c r="B2427" s="1429"/>
      <c r="C2427" s="3616" t="s">
        <v>696</v>
      </c>
      <c r="D2427" s="3617" t="s">
        <v>697</v>
      </c>
      <c r="E2427" s="3612">
        <v>0</v>
      </c>
      <c r="F2427" s="3613">
        <v>0</v>
      </c>
      <c r="G2427" s="3615">
        <v>0</v>
      </c>
      <c r="H2427" s="3611" t="e">
        <f t="shared" si="160"/>
        <v>#DIV/0!</v>
      </c>
    </row>
    <row r="2428" spans="1:10" s="1370" customFormat="1" ht="17.100000000000001" hidden="1" customHeight="1" thickBot="1">
      <c r="A2428" s="1408"/>
      <c r="B2428" s="1429"/>
      <c r="C2428" s="3616" t="s">
        <v>698</v>
      </c>
      <c r="D2428" s="3617" t="s">
        <v>750</v>
      </c>
      <c r="E2428" s="3612">
        <v>0</v>
      </c>
      <c r="F2428" s="3613">
        <v>0</v>
      </c>
      <c r="G2428" s="3615">
        <v>0</v>
      </c>
      <c r="H2428" s="3618" t="e">
        <f t="shared" si="160"/>
        <v>#DIV/0!</v>
      </c>
    </row>
    <row r="2429" spans="1:10" s="1370" customFormat="1" ht="17.100000000000001" customHeight="1" thickBot="1">
      <c r="A2429" s="2245"/>
      <c r="B2429" s="1500" t="s">
        <v>1267</v>
      </c>
      <c r="C2429" s="1501"/>
      <c r="D2429" s="1502" t="s">
        <v>1268</v>
      </c>
      <c r="E2429" s="1503">
        <f>SUM(E2433)</f>
        <v>0</v>
      </c>
      <c r="F2429" s="1504">
        <f>SUM(F2433)</f>
        <v>12000</v>
      </c>
      <c r="G2429" s="1505">
        <f>SUM(G2433)</f>
        <v>0</v>
      </c>
      <c r="H2429" s="1506">
        <f t="shared" si="160"/>
        <v>0</v>
      </c>
    </row>
    <row r="2430" spans="1:10" s="1370" customFormat="1" ht="17.100000000000001" hidden="1" customHeight="1" thickBot="1">
      <c r="A2430" s="2245"/>
      <c r="B2430" s="4484"/>
      <c r="C2430" s="4358" t="s">
        <v>688</v>
      </c>
      <c r="D2430" s="4358"/>
      <c r="E2430" s="2946">
        <v>0</v>
      </c>
      <c r="F2430" s="1418">
        <v>0</v>
      </c>
      <c r="G2430" s="2947">
        <v>0</v>
      </c>
      <c r="H2430" s="1509" t="e">
        <f t="shared" si="160"/>
        <v>#DIV/0!</v>
      </c>
    </row>
    <row r="2431" spans="1:10" s="1370" customFormat="1" ht="17.100000000000001" hidden="1" customHeight="1">
      <c r="A2431" s="2245"/>
      <c r="B2431" s="4398"/>
      <c r="C2431" s="4487" t="s">
        <v>797</v>
      </c>
      <c r="D2431" s="4487"/>
      <c r="E2431" s="3619">
        <v>0</v>
      </c>
      <c r="F2431" s="3620">
        <v>0</v>
      </c>
      <c r="G2431" s="3621">
        <v>0</v>
      </c>
      <c r="H2431" s="3611" t="e">
        <f t="shared" si="160"/>
        <v>#DIV/0!</v>
      </c>
    </row>
    <row r="2432" spans="1:10" s="1370" customFormat="1" ht="27" hidden="1" customHeight="1">
      <c r="A2432" s="2245"/>
      <c r="B2432" s="4489"/>
      <c r="C2432" s="3616" t="s">
        <v>353</v>
      </c>
      <c r="D2432" s="3617" t="s">
        <v>932</v>
      </c>
      <c r="E2432" s="3622">
        <v>0</v>
      </c>
      <c r="F2432" s="3623">
        <v>0</v>
      </c>
      <c r="G2432" s="3624">
        <v>0</v>
      </c>
      <c r="H2432" s="3611" t="e">
        <f t="shared" si="160"/>
        <v>#DIV/0!</v>
      </c>
    </row>
    <row r="2433" spans="1:10" s="1370" customFormat="1" ht="17.100000000000001" customHeight="1">
      <c r="A2433" s="2245"/>
      <c r="B2433" s="1429"/>
      <c r="C2433" s="4358" t="s">
        <v>744</v>
      </c>
      <c r="D2433" s="4360"/>
      <c r="E2433" s="3625">
        <f t="shared" ref="E2433:G2434" si="161">SUM(E2434)</f>
        <v>0</v>
      </c>
      <c r="F2433" s="3626">
        <f t="shared" si="161"/>
        <v>12000</v>
      </c>
      <c r="G2433" s="3627">
        <f t="shared" si="161"/>
        <v>0</v>
      </c>
      <c r="H2433" s="3611">
        <f t="shared" si="160"/>
        <v>0</v>
      </c>
    </row>
    <row r="2434" spans="1:10" s="1370" customFormat="1" ht="17.100000000000001" customHeight="1">
      <c r="A2434" s="2245"/>
      <c r="B2434" s="1429"/>
      <c r="C2434" s="4485" t="s">
        <v>745</v>
      </c>
      <c r="D2434" s="4486"/>
      <c r="E2434" s="3612">
        <f t="shared" si="161"/>
        <v>0</v>
      </c>
      <c r="F2434" s="3613">
        <f t="shared" si="161"/>
        <v>12000</v>
      </c>
      <c r="G2434" s="3615">
        <f t="shared" si="161"/>
        <v>0</v>
      </c>
      <c r="H2434" s="3628">
        <f t="shared" si="160"/>
        <v>0</v>
      </c>
    </row>
    <row r="2435" spans="1:10" s="1370" customFormat="1" ht="48" customHeight="1" thickBot="1">
      <c r="A2435" s="2245"/>
      <c r="B2435" s="1429"/>
      <c r="C2435" s="3629" t="s">
        <v>880</v>
      </c>
      <c r="D2435" s="2953" t="s">
        <v>881</v>
      </c>
      <c r="E2435" s="3630">
        <v>0</v>
      </c>
      <c r="F2435" s="3613">
        <v>12000</v>
      </c>
      <c r="G2435" s="3631">
        <v>0</v>
      </c>
      <c r="H2435" s="3632">
        <f t="shared" si="160"/>
        <v>0</v>
      </c>
    </row>
    <row r="2436" spans="1:10" s="1370" customFormat="1" ht="17.100000000000001" customHeight="1" thickBot="1">
      <c r="A2436" s="3633"/>
      <c r="B2436" s="1500" t="s">
        <v>1269</v>
      </c>
      <c r="C2436" s="1501"/>
      <c r="D2436" s="1502" t="s">
        <v>648</v>
      </c>
      <c r="E2436" s="1503">
        <f>SUM(E2437)</f>
        <v>204623</v>
      </c>
      <c r="F2436" s="1504">
        <f>SUM(F2437)</f>
        <v>538273</v>
      </c>
      <c r="G2436" s="1505">
        <f>SUM(G2437)</f>
        <v>210216</v>
      </c>
      <c r="H2436" s="1506">
        <f t="shared" si="160"/>
        <v>0.39053788690868763</v>
      </c>
    </row>
    <row r="2437" spans="1:10" s="1370" customFormat="1" ht="17.100000000000001" customHeight="1">
      <c r="A2437" s="1408"/>
      <c r="B2437" s="4357"/>
      <c r="C2437" s="4358" t="s">
        <v>688</v>
      </c>
      <c r="D2437" s="4358"/>
      <c r="E2437" s="2946">
        <f>SUM(E2438,E2444)</f>
        <v>204623</v>
      </c>
      <c r="F2437" s="1418">
        <f>SUM(F2438,F2444)</f>
        <v>538273</v>
      </c>
      <c r="G2437" s="2947">
        <f>SUM(G2438,G2444)</f>
        <v>210216</v>
      </c>
      <c r="H2437" s="1509">
        <f t="shared" si="160"/>
        <v>0.39053788690868763</v>
      </c>
      <c r="J2437" s="1370" t="s">
        <v>1270</v>
      </c>
    </row>
    <row r="2438" spans="1:10" s="1370" customFormat="1" ht="17.100000000000001" customHeight="1">
      <c r="A2438" s="1408"/>
      <c r="B2438" s="4357"/>
      <c r="C2438" s="4475" t="s">
        <v>689</v>
      </c>
      <c r="D2438" s="4475"/>
      <c r="E2438" s="3612">
        <f>SUM(E2439)</f>
        <v>197623</v>
      </c>
      <c r="F2438" s="3613">
        <f>SUM(F2439)</f>
        <v>531273</v>
      </c>
      <c r="G2438" s="3615">
        <f>SUM(G2439)</f>
        <v>203216</v>
      </c>
      <c r="H2438" s="3628">
        <f t="shared" si="160"/>
        <v>0.38250767496183696</v>
      </c>
    </row>
    <row r="2439" spans="1:10" s="1370" customFormat="1" ht="17.100000000000001" customHeight="1">
      <c r="A2439" s="1408"/>
      <c r="B2439" s="4357"/>
      <c r="C2439" s="4476" t="s">
        <v>704</v>
      </c>
      <c r="D2439" s="4476"/>
      <c r="E2439" s="3634">
        <f>SUM(E2440:E2442)</f>
        <v>197623</v>
      </c>
      <c r="F2439" s="3635">
        <f>SUM(F2440:F2442)</f>
        <v>531273</v>
      </c>
      <c r="G2439" s="3636">
        <f>SUM(G2440:G2442)</f>
        <v>203216</v>
      </c>
      <c r="H2439" s="3637">
        <f t="shared" si="160"/>
        <v>0.38250767496183696</v>
      </c>
    </row>
    <row r="2440" spans="1:10" s="1370" customFormat="1" ht="17.100000000000001" customHeight="1">
      <c r="A2440" s="1408"/>
      <c r="B2440" s="4357"/>
      <c r="C2440" s="3638" t="s">
        <v>707</v>
      </c>
      <c r="D2440" s="3639" t="s">
        <v>708</v>
      </c>
      <c r="E2440" s="3612">
        <v>15000</v>
      </c>
      <c r="F2440" s="3613">
        <v>10650</v>
      </c>
      <c r="G2440" s="3631">
        <v>15000</v>
      </c>
      <c r="H2440" s="3628">
        <f t="shared" si="160"/>
        <v>1.408450704225352</v>
      </c>
    </row>
    <row r="2441" spans="1:10" s="1370" customFormat="1" ht="17.100000000000001" customHeight="1">
      <c r="A2441" s="1408"/>
      <c r="B2441" s="4357"/>
      <c r="C2441" s="3616" t="s">
        <v>717</v>
      </c>
      <c r="D2441" s="3617" t="s">
        <v>718</v>
      </c>
      <c r="E2441" s="3612">
        <v>163623</v>
      </c>
      <c r="F2441" s="3613">
        <v>501623</v>
      </c>
      <c r="G2441" s="3631">
        <v>169216</v>
      </c>
      <c r="H2441" s="3628">
        <f t="shared" si="160"/>
        <v>0.33733700408474093</v>
      </c>
    </row>
    <row r="2442" spans="1:10" s="1370" customFormat="1" ht="17.100000000000001" customHeight="1">
      <c r="A2442" s="1429"/>
      <c r="B2442" s="1469"/>
      <c r="C2442" s="3640" t="s">
        <v>721</v>
      </c>
      <c r="D2442" s="3641" t="s">
        <v>722</v>
      </c>
      <c r="E2442" s="3642">
        <v>19000</v>
      </c>
      <c r="F2442" s="3643">
        <v>19000</v>
      </c>
      <c r="G2442" s="3644">
        <v>19000</v>
      </c>
      <c r="H2442" s="3645">
        <f t="shared" si="160"/>
        <v>1</v>
      </c>
    </row>
    <row r="2443" spans="1:10" s="1370" customFormat="1" ht="11.25" customHeight="1">
      <c r="A2443" s="1408"/>
      <c r="B2443" s="1469"/>
      <c r="C2443" s="2970"/>
      <c r="D2443" s="2971"/>
      <c r="E2443" s="2954"/>
      <c r="F2443" s="1451"/>
      <c r="G2443" s="2617"/>
      <c r="H2443" s="1453"/>
    </row>
    <row r="2444" spans="1:10" s="1370" customFormat="1" ht="17.100000000000001" customHeight="1">
      <c r="A2444" s="1408"/>
      <c r="B2444" s="1469"/>
      <c r="C2444" s="4487" t="s">
        <v>797</v>
      </c>
      <c r="D2444" s="4487"/>
      <c r="E2444" s="3612">
        <f>SUM(E2445)</f>
        <v>7000</v>
      </c>
      <c r="F2444" s="3613">
        <f>SUM(F2445)</f>
        <v>7000</v>
      </c>
      <c r="G2444" s="3615">
        <f>SUM(G2445)</f>
        <v>7000</v>
      </c>
      <c r="H2444" s="3628">
        <f t="shared" ref="H2444:H2466" si="162">G2444/F2444</f>
        <v>1</v>
      </c>
    </row>
    <row r="2445" spans="1:10" s="1370" customFormat="1" ht="53.25" customHeight="1" thickBot="1">
      <c r="A2445" s="1408"/>
      <c r="B2445" s="1469"/>
      <c r="C2445" s="3646" t="s">
        <v>374</v>
      </c>
      <c r="D2445" s="3647" t="s">
        <v>817</v>
      </c>
      <c r="E2445" s="3612">
        <v>7000</v>
      </c>
      <c r="F2445" s="3613">
        <v>7000</v>
      </c>
      <c r="G2445" s="3631">
        <v>7000</v>
      </c>
      <c r="H2445" s="3632">
        <f t="shared" si="162"/>
        <v>1</v>
      </c>
    </row>
    <row r="2446" spans="1:10" s="1370" customFormat="1" ht="17.100000000000001" customHeight="1" thickBot="1">
      <c r="A2446" s="3633"/>
      <c r="B2446" s="1500" t="s">
        <v>1271</v>
      </c>
      <c r="C2446" s="1501"/>
      <c r="D2446" s="1502" t="s">
        <v>1272</v>
      </c>
      <c r="E2446" s="1503">
        <f t="shared" ref="E2446:G2448" si="163">SUM(E2447)</f>
        <v>5000</v>
      </c>
      <c r="F2446" s="1504">
        <f t="shared" si="163"/>
        <v>5000</v>
      </c>
      <c r="G2446" s="1505">
        <f t="shared" si="163"/>
        <v>220000</v>
      </c>
      <c r="H2446" s="1506">
        <f t="shared" si="162"/>
        <v>44</v>
      </c>
    </row>
    <row r="2447" spans="1:10" s="1370" customFormat="1" ht="17.25" customHeight="1">
      <c r="A2447" s="1408"/>
      <c r="B2447" s="1469"/>
      <c r="C2447" s="4358" t="s">
        <v>688</v>
      </c>
      <c r="D2447" s="4358"/>
      <c r="E2447" s="1815">
        <f t="shared" si="163"/>
        <v>5000</v>
      </c>
      <c r="F2447" s="1816">
        <f t="shared" si="163"/>
        <v>5000</v>
      </c>
      <c r="G2447" s="1817">
        <f t="shared" si="163"/>
        <v>220000</v>
      </c>
      <c r="H2447" s="1509">
        <f t="shared" si="162"/>
        <v>44</v>
      </c>
      <c r="J2447" s="1370" t="s">
        <v>1270</v>
      </c>
    </row>
    <row r="2448" spans="1:10" s="1370" customFormat="1" ht="17.25" customHeight="1">
      <c r="A2448" s="1408"/>
      <c r="B2448" s="1469"/>
      <c r="C2448" s="4475" t="s">
        <v>689</v>
      </c>
      <c r="D2448" s="4475"/>
      <c r="E2448" s="3648">
        <f t="shared" si="163"/>
        <v>5000</v>
      </c>
      <c r="F2448" s="3649">
        <f t="shared" si="163"/>
        <v>5000</v>
      </c>
      <c r="G2448" s="3621">
        <f t="shared" si="163"/>
        <v>220000</v>
      </c>
      <c r="H2448" s="3628">
        <f t="shared" si="162"/>
        <v>44</v>
      </c>
    </row>
    <row r="2449" spans="1:10" s="1370" customFormat="1" ht="18.75" customHeight="1">
      <c r="A2449" s="1408"/>
      <c r="B2449" s="1469"/>
      <c r="C2449" s="4476" t="s">
        <v>704</v>
      </c>
      <c r="D2449" s="4476"/>
      <c r="E2449" s="3650">
        <f>SUM(E2451)</f>
        <v>5000</v>
      </c>
      <c r="F2449" s="3651">
        <f>SUM(F2451)</f>
        <v>5000</v>
      </c>
      <c r="G2449" s="3652">
        <f>SUM(G2451)</f>
        <v>220000</v>
      </c>
      <c r="H2449" s="3637">
        <f t="shared" si="162"/>
        <v>44</v>
      </c>
    </row>
    <row r="2450" spans="1:10" s="1370" customFormat="1" ht="16.5" hidden="1" customHeight="1">
      <c r="A2450" s="1408"/>
      <c r="B2450" s="1469"/>
      <c r="C2450" s="3638" t="s">
        <v>717</v>
      </c>
      <c r="D2450" s="3639" t="s">
        <v>718</v>
      </c>
      <c r="E2450" s="3648">
        <v>0</v>
      </c>
      <c r="F2450" s="3613"/>
      <c r="G2450" s="3631"/>
      <c r="H2450" s="3628" t="e">
        <f t="shared" si="162"/>
        <v>#DIV/0!</v>
      </c>
    </row>
    <row r="2451" spans="1:10" s="1370" customFormat="1" ht="16.5" customHeight="1" thickBot="1">
      <c r="A2451" s="1429"/>
      <c r="B2451" s="1582"/>
      <c r="C2451" s="3653" t="s">
        <v>721</v>
      </c>
      <c r="D2451" s="3654" t="s">
        <v>722</v>
      </c>
      <c r="E2451" s="3655">
        <v>5000</v>
      </c>
      <c r="F2451" s="1538">
        <v>5000</v>
      </c>
      <c r="G2451" s="3656">
        <v>220000</v>
      </c>
      <c r="H2451" s="1540">
        <f t="shared" si="162"/>
        <v>44</v>
      </c>
    </row>
    <row r="2452" spans="1:10" s="1370" customFormat="1" ht="16.5" hidden="1" customHeight="1" thickBot="1">
      <c r="A2452" s="1408"/>
      <c r="B2452" s="1541" t="s">
        <v>1273</v>
      </c>
      <c r="C2452" s="1542"/>
      <c r="D2452" s="2184"/>
      <c r="E2452" s="1544">
        <v>0</v>
      </c>
      <c r="F2452" s="1451"/>
      <c r="G2452" s="2617"/>
      <c r="H2452" s="1453" t="e">
        <f t="shared" si="162"/>
        <v>#DIV/0!</v>
      </c>
    </row>
    <row r="2453" spans="1:10" s="1370" customFormat="1" ht="16.5" hidden="1" customHeight="1" thickBot="1">
      <c r="A2453" s="1408"/>
      <c r="B2453" s="1469"/>
      <c r="C2453" s="4358" t="s">
        <v>688</v>
      </c>
      <c r="D2453" s="4358"/>
      <c r="E2453" s="3276">
        <v>0</v>
      </c>
      <c r="F2453" s="3643"/>
      <c r="G2453" s="3644"/>
      <c r="H2453" s="3645" t="e">
        <f t="shared" si="162"/>
        <v>#DIV/0!</v>
      </c>
    </row>
    <row r="2454" spans="1:10" s="1370" customFormat="1" ht="16.5" hidden="1" customHeight="1" thickBot="1">
      <c r="A2454" s="1408"/>
      <c r="B2454" s="1469"/>
      <c r="C2454" s="4359" t="s">
        <v>761</v>
      </c>
      <c r="D2454" s="4359"/>
      <c r="E2454" s="3657">
        <v>0</v>
      </c>
      <c r="F2454" s="3658"/>
      <c r="G2454" s="3659"/>
      <c r="H2454" s="3660" t="e">
        <f t="shared" si="162"/>
        <v>#DIV/0!</v>
      </c>
    </row>
    <row r="2455" spans="1:10" s="1370" customFormat="1" ht="16.5" hidden="1" customHeight="1" thickBot="1">
      <c r="A2455" s="1408"/>
      <c r="B2455" s="1469"/>
      <c r="C2455" s="3661" t="s">
        <v>833</v>
      </c>
      <c r="D2455" s="3662" t="s">
        <v>718</v>
      </c>
      <c r="E2455" s="3657">
        <v>0</v>
      </c>
      <c r="F2455" s="3658"/>
      <c r="G2455" s="3659"/>
      <c r="H2455" s="3660" t="e">
        <f t="shared" si="162"/>
        <v>#DIV/0!</v>
      </c>
    </row>
    <row r="2456" spans="1:10" s="1370" customFormat="1" ht="18.75" hidden="1" customHeight="1" thickBot="1">
      <c r="A2456" s="1408"/>
      <c r="B2456" s="1500" t="s">
        <v>1274</v>
      </c>
      <c r="C2456" s="1501"/>
      <c r="D2456" s="1502" t="s">
        <v>1275</v>
      </c>
      <c r="E2456" s="1503">
        <v>0</v>
      </c>
      <c r="F2456" s="3658"/>
      <c r="G2456" s="3659"/>
      <c r="H2456" s="3660" t="e">
        <f t="shared" si="162"/>
        <v>#DIV/0!</v>
      </c>
    </row>
    <row r="2457" spans="1:10" s="1370" customFormat="1" ht="15.75" hidden="1" customHeight="1" thickBot="1">
      <c r="A2457" s="1408"/>
      <c r="B2457" s="4484"/>
      <c r="C2457" s="4358" t="s">
        <v>744</v>
      </c>
      <c r="D2457" s="4358"/>
      <c r="E2457" s="2946">
        <v>0</v>
      </c>
      <c r="F2457" s="3658"/>
      <c r="G2457" s="3659"/>
      <c r="H2457" s="3660" t="e">
        <f t="shared" si="162"/>
        <v>#DIV/0!</v>
      </c>
    </row>
    <row r="2458" spans="1:10" s="1370" customFormat="1" ht="15" hidden="1" customHeight="1" thickBot="1">
      <c r="A2458" s="1408"/>
      <c r="B2458" s="4398"/>
      <c r="C2458" s="4468" t="s">
        <v>745</v>
      </c>
      <c r="D2458" s="4468"/>
      <c r="E2458" s="3657">
        <v>0</v>
      </c>
      <c r="F2458" s="3658"/>
      <c r="G2458" s="3659"/>
      <c r="H2458" s="3660" t="e">
        <f t="shared" si="162"/>
        <v>#DIV/0!</v>
      </c>
    </row>
    <row r="2459" spans="1:10" s="1370" customFormat="1" ht="40.5" hidden="1" customHeight="1" thickBot="1">
      <c r="A2459" s="1408"/>
      <c r="B2459" s="4398"/>
      <c r="C2459" s="3663" t="s">
        <v>880</v>
      </c>
      <c r="D2459" s="3664" t="s">
        <v>881</v>
      </c>
      <c r="E2459" s="3665">
        <v>0</v>
      </c>
      <c r="F2459" s="3666"/>
      <c r="G2459" s="3667"/>
      <c r="H2459" s="3668" t="e">
        <f t="shared" si="162"/>
        <v>#DIV/0!</v>
      </c>
    </row>
    <row r="2460" spans="1:10" s="1370" customFormat="1" ht="28.5" customHeight="1" thickBot="1">
      <c r="A2460" s="1429"/>
      <c r="B2460" s="1500" t="s">
        <v>1276</v>
      </c>
      <c r="C2460" s="1501"/>
      <c r="D2460" s="1502" t="s">
        <v>1277</v>
      </c>
      <c r="E2460" s="1480">
        <f t="shared" ref="E2460:G2461" si="164">SUM(E2461)</f>
        <v>400000</v>
      </c>
      <c r="F2460" s="3669">
        <f t="shared" si="164"/>
        <v>545152</v>
      </c>
      <c r="G2460" s="3670">
        <f t="shared" si="164"/>
        <v>400000</v>
      </c>
      <c r="H2460" s="1506">
        <f t="shared" si="162"/>
        <v>0.73374031462784695</v>
      </c>
    </row>
    <row r="2461" spans="1:10" s="1370" customFormat="1" ht="17.100000000000001" customHeight="1">
      <c r="A2461" s="1408"/>
      <c r="B2461" s="4357"/>
      <c r="C2461" s="4358" t="s">
        <v>688</v>
      </c>
      <c r="D2461" s="4358"/>
      <c r="E2461" s="2946">
        <f t="shared" si="164"/>
        <v>400000</v>
      </c>
      <c r="F2461" s="1418">
        <f t="shared" si="164"/>
        <v>545152</v>
      </c>
      <c r="G2461" s="2947">
        <f t="shared" si="164"/>
        <v>400000</v>
      </c>
      <c r="H2461" s="1509">
        <f t="shared" si="162"/>
        <v>0.73374031462784695</v>
      </c>
      <c r="J2461" s="1370" t="s">
        <v>809</v>
      </c>
    </row>
    <row r="2462" spans="1:10" s="1370" customFormat="1" ht="17.100000000000001" customHeight="1">
      <c r="A2462" s="1408"/>
      <c r="B2462" s="4357"/>
      <c r="C2462" s="4471" t="s">
        <v>689</v>
      </c>
      <c r="D2462" s="4471"/>
      <c r="E2462" s="3671">
        <f>SUM(E2463,E2468)</f>
        <v>400000</v>
      </c>
      <c r="F2462" s="3658">
        <f>SUM(F2463,F2468)</f>
        <v>545152</v>
      </c>
      <c r="G2462" s="3672">
        <f>SUM(G2463,G2468)</f>
        <v>400000</v>
      </c>
      <c r="H2462" s="3660">
        <f t="shared" si="162"/>
        <v>0.73374031462784695</v>
      </c>
    </row>
    <row r="2463" spans="1:10" s="1370" customFormat="1" ht="15" customHeight="1">
      <c r="A2463" s="1408"/>
      <c r="B2463" s="4357"/>
      <c r="C2463" s="4385" t="s">
        <v>690</v>
      </c>
      <c r="D2463" s="4385"/>
      <c r="E2463" s="3673">
        <f>SUM(E2464:E2466)</f>
        <v>371000</v>
      </c>
      <c r="F2463" s="3674">
        <f>SUM(F2464:F2466)</f>
        <v>511152</v>
      </c>
      <c r="G2463" s="3675">
        <f>SUM(G2464:G2466)</f>
        <v>370000</v>
      </c>
      <c r="H2463" s="3676">
        <f t="shared" si="162"/>
        <v>0.72385513506745547</v>
      </c>
    </row>
    <row r="2464" spans="1:10" s="1370" customFormat="1" ht="17.100000000000001" customHeight="1">
      <c r="A2464" s="1408"/>
      <c r="B2464" s="4357"/>
      <c r="C2464" s="3677" t="s">
        <v>692</v>
      </c>
      <c r="D2464" s="3678" t="s">
        <v>693</v>
      </c>
      <c r="E2464" s="3671">
        <v>310097</v>
      </c>
      <c r="F2464" s="3658">
        <v>427242</v>
      </c>
      <c r="G2464" s="3659">
        <v>309261</v>
      </c>
      <c r="H2464" s="3660">
        <f t="shared" si="162"/>
        <v>0.72385439633743875</v>
      </c>
    </row>
    <row r="2465" spans="1:10" s="1370" customFormat="1" ht="17.100000000000001" customHeight="1">
      <c r="A2465" s="1408"/>
      <c r="B2465" s="4357"/>
      <c r="C2465" s="3679" t="s">
        <v>696</v>
      </c>
      <c r="D2465" s="3680" t="s">
        <v>697</v>
      </c>
      <c r="E2465" s="3671">
        <v>53306</v>
      </c>
      <c r="F2465" s="3658">
        <v>73443</v>
      </c>
      <c r="G2465" s="3659">
        <v>53162</v>
      </c>
      <c r="H2465" s="3660">
        <f t="shared" si="162"/>
        <v>0.72385387307163374</v>
      </c>
    </row>
    <row r="2466" spans="1:10" s="1370" customFormat="1" ht="17.100000000000001" customHeight="1">
      <c r="A2466" s="1408"/>
      <c r="B2466" s="4357"/>
      <c r="C2466" s="3679" t="s">
        <v>698</v>
      </c>
      <c r="D2466" s="3680" t="s">
        <v>699</v>
      </c>
      <c r="E2466" s="3671">
        <v>7597</v>
      </c>
      <c r="F2466" s="3658">
        <v>10467</v>
      </c>
      <c r="G2466" s="3659">
        <v>7577</v>
      </c>
      <c r="H2466" s="3660">
        <f t="shared" si="162"/>
        <v>0.72389414349861469</v>
      </c>
    </row>
    <row r="2467" spans="1:10" s="1370" customFormat="1" ht="12.75" customHeight="1">
      <c r="A2467" s="1408"/>
      <c r="B2467" s="4357"/>
      <c r="C2467" s="2197"/>
      <c r="D2467" s="1534"/>
      <c r="E2467" s="1457"/>
      <c r="F2467" s="3658"/>
      <c r="G2467" s="3659"/>
      <c r="H2467" s="3660"/>
    </row>
    <row r="2468" spans="1:10" s="1370" customFormat="1" ht="17.100000000000001" customHeight="1">
      <c r="A2468" s="1408"/>
      <c r="B2468" s="4357"/>
      <c r="C2468" s="4470" t="s">
        <v>704</v>
      </c>
      <c r="D2468" s="4470"/>
      <c r="E2468" s="3673">
        <f>SUM(E2469:E2470)</f>
        <v>29000</v>
      </c>
      <c r="F2468" s="3674">
        <f>SUM(F2469:F2470)</f>
        <v>34000</v>
      </c>
      <c r="G2468" s="3675">
        <f>SUM(G2469:G2470)</f>
        <v>30000</v>
      </c>
      <c r="H2468" s="3676">
        <f t="shared" ref="H2468:H2481" si="165">G2468/F2468</f>
        <v>0.88235294117647056</v>
      </c>
    </row>
    <row r="2469" spans="1:10" s="1370" customFormat="1" ht="17.100000000000001" customHeight="1">
      <c r="A2469" s="1408"/>
      <c r="B2469" s="4357"/>
      <c r="C2469" s="3661" t="s">
        <v>707</v>
      </c>
      <c r="D2469" s="3662" t="s">
        <v>708</v>
      </c>
      <c r="E2469" s="3671">
        <v>14000</v>
      </c>
      <c r="F2469" s="3658">
        <v>19000</v>
      </c>
      <c r="G2469" s="3659">
        <v>10000</v>
      </c>
      <c r="H2469" s="3660">
        <f t="shared" si="165"/>
        <v>0.52631578947368418</v>
      </c>
    </row>
    <row r="2470" spans="1:10" s="1370" customFormat="1" ht="19.5" customHeight="1" thickBot="1">
      <c r="A2470" s="1408"/>
      <c r="B2470" s="4357"/>
      <c r="C2470" s="3679" t="s">
        <v>739</v>
      </c>
      <c r="D2470" s="3680" t="s">
        <v>740</v>
      </c>
      <c r="E2470" s="3671">
        <v>15000</v>
      </c>
      <c r="F2470" s="3658">
        <v>15000</v>
      </c>
      <c r="G2470" s="3659">
        <v>20000</v>
      </c>
      <c r="H2470" s="3660">
        <f t="shared" si="165"/>
        <v>1.3333333333333333</v>
      </c>
    </row>
    <row r="2471" spans="1:10" s="1370" customFormat="1" ht="17.100000000000001" hidden="1" customHeight="1" thickBot="1">
      <c r="A2471" s="1408"/>
      <c r="B2471" s="1469"/>
      <c r="C2471" s="4482"/>
      <c r="D2471" s="4483"/>
      <c r="E2471" s="3671"/>
      <c r="F2471" s="3658"/>
      <c r="G2471" s="3659"/>
      <c r="H2471" s="3660" t="e">
        <f t="shared" si="165"/>
        <v>#DIV/0!</v>
      </c>
    </row>
    <row r="2472" spans="1:10" s="1370" customFormat="1" ht="17.100000000000001" hidden="1" customHeight="1" thickBot="1">
      <c r="A2472" s="1408"/>
      <c r="B2472" s="1469"/>
      <c r="C2472" s="4477" t="s">
        <v>744</v>
      </c>
      <c r="D2472" s="4477"/>
      <c r="E2472" s="2946">
        <v>0</v>
      </c>
      <c r="F2472" s="3658"/>
      <c r="G2472" s="3659"/>
      <c r="H2472" s="3660" t="e">
        <f t="shared" si="165"/>
        <v>#DIV/0!</v>
      </c>
    </row>
    <row r="2473" spans="1:10" s="1370" customFormat="1" ht="17.100000000000001" hidden="1" customHeight="1" thickBot="1">
      <c r="A2473" s="1408"/>
      <c r="B2473" s="1469"/>
      <c r="C2473" s="4362" t="s">
        <v>745</v>
      </c>
      <c r="D2473" s="4478"/>
      <c r="E2473" s="3671">
        <v>0</v>
      </c>
      <c r="F2473" s="3658"/>
      <c r="G2473" s="3659"/>
      <c r="H2473" s="3660" t="e">
        <f t="shared" si="165"/>
        <v>#DIV/0!</v>
      </c>
    </row>
    <row r="2474" spans="1:10" s="1370" customFormat="1" ht="17.100000000000001" hidden="1" customHeight="1" thickBot="1">
      <c r="A2474" s="1408"/>
      <c r="B2474" s="1469"/>
      <c r="C2474" s="1478" t="s">
        <v>746</v>
      </c>
      <c r="D2474" s="1479" t="s">
        <v>801</v>
      </c>
      <c r="E2474" s="3657">
        <v>0</v>
      </c>
      <c r="F2474" s="3658"/>
      <c r="G2474" s="3659"/>
      <c r="H2474" s="3668" t="e">
        <f t="shared" si="165"/>
        <v>#DIV/0!</v>
      </c>
    </row>
    <row r="2475" spans="1:10" s="1370" customFormat="1" ht="27" customHeight="1" thickBot="1">
      <c r="A2475" s="1408"/>
      <c r="B2475" s="1500" t="s">
        <v>1278</v>
      </c>
      <c r="C2475" s="1501"/>
      <c r="D2475" s="1502" t="s">
        <v>1279</v>
      </c>
      <c r="E2475" s="1503">
        <f t="shared" ref="E2475:G2476" si="166">SUM(E2476)</f>
        <v>101200</v>
      </c>
      <c r="F2475" s="1504">
        <f t="shared" si="166"/>
        <v>290129</v>
      </c>
      <c r="G2475" s="1505">
        <f t="shared" si="166"/>
        <v>73400</v>
      </c>
      <c r="H2475" s="1506">
        <f t="shared" si="165"/>
        <v>0.25299091093961651</v>
      </c>
    </row>
    <row r="2476" spans="1:10" s="1370" customFormat="1" ht="12.75" customHeight="1">
      <c r="A2476" s="1408"/>
      <c r="B2476" s="4479"/>
      <c r="C2476" s="4358" t="s">
        <v>688</v>
      </c>
      <c r="D2476" s="4358"/>
      <c r="E2476" s="2946">
        <f t="shared" si="166"/>
        <v>101200</v>
      </c>
      <c r="F2476" s="1418">
        <f t="shared" si="166"/>
        <v>290129</v>
      </c>
      <c r="G2476" s="2947">
        <f t="shared" si="166"/>
        <v>73400</v>
      </c>
      <c r="H2476" s="1509">
        <f t="shared" si="165"/>
        <v>0.25299091093961651</v>
      </c>
      <c r="J2476" s="1370" t="s">
        <v>809</v>
      </c>
    </row>
    <row r="2477" spans="1:10" s="1370" customFormat="1" ht="16.5" customHeight="1">
      <c r="A2477" s="1408"/>
      <c r="B2477" s="4357"/>
      <c r="C2477" s="4471" t="s">
        <v>689</v>
      </c>
      <c r="D2477" s="4471"/>
      <c r="E2477" s="3671">
        <f>SUM(E2478,E2483)</f>
        <v>101200</v>
      </c>
      <c r="F2477" s="3658">
        <f>SUM(F2478,F2483)</f>
        <v>290129</v>
      </c>
      <c r="G2477" s="3672">
        <f>SUM(G2478,G2483)</f>
        <v>73400</v>
      </c>
      <c r="H2477" s="3660">
        <f t="shared" si="165"/>
        <v>0.25299091093961651</v>
      </c>
    </row>
    <row r="2478" spans="1:10" s="1370" customFormat="1" ht="15" customHeight="1">
      <c r="A2478" s="1408"/>
      <c r="B2478" s="4357"/>
      <c r="C2478" s="4385" t="s">
        <v>690</v>
      </c>
      <c r="D2478" s="4385"/>
      <c r="E2478" s="3681">
        <f>SUM(E2479:E2481)</f>
        <v>98200</v>
      </c>
      <c r="F2478" s="3682">
        <f>SUM(F2479:F2481)</f>
        <v>287129</v>
      </c>
      <c r="G2478" s="3683">
        <f>SUM(G2479:G2481)</f>
        <v>70400</v>
      </c>
      <c r="H2478" s="3676">
        <f t="shared" si="165"/>
        <v>0.24518596171059001</v>
      </c>
    </row>
    <row r="2479" spans="1:10" s="1370" customFormat="1" ht="16.5" customHeight="1">
      <c r="A2479" s="1408"/>
      <c r="B2479" s="4357"/>
      <c r="C2479" s="3677" t="s">
        <v>692</v>
      </c>
      <c r="D2479" s="3678" t="s">
        <v>693</v>
      </c>
      <c r="E2479" s="3657">
        <v>82080</v>
      </c>
      <c r="F2479" s="3658">
        <v>239994</v>
      </c>
      <c r="G2479" s="3659">
        <v>58843</v>
      </c>
      <c r="H2479" s="3660">
        <f t="shared" si="165"/>
        <v>0.24518529629907415</v>
      </c>
    </row>
    <row r="2480" spans="1:10" s="1370" customFormat="1" ht="17.25" customHeight="1">
      <c r="A2480" s="1408"/>
      <c r="B2480" s="4357"/>
      <c r="C2480" s="3679" t="s">
        <v>696</v>
      </c>
      <c r="D2480" s="3680" t="s">
        <v>697</v>
      </c>
      <c r="E2480" s="3657">
        <v>14110</v>
      </c>
      <c r="F2480" s="3658">
        <v>41256</v>
      </c>
      <c r="G2480" s="3659">
        <v>10115</v>
      </c>
      <c r="H2480" s="3660">
        <f t="shared" si="165"/>
        <v>0.24517645918169478</v>
      </c>
    </row>
    <row r="2481" spans="1:10" s="1370" customFormat="1" ht="16.5" customHeight="1">
      <c r="A2481" s="1408"/>
      <c r="B2481" s="4357"/>
      <c r="C2481" s="3679" t="s">
        <v>698</v>
      </c>
      <c r="D2481" s="3680" t="s">
        <v>699</v>
      </c>
      <c r="E2481" s="3657">
        <v>2010</v>
      </c>
      <c r="F2481" s="3658">
        <v>5879</v>
      </c>
      <c r="G2481" s="3659">
        <v>1442</v>
      </c>
      <c r="H2481" s="3660">
        <f t="shared" si="165"/>
        <v>0.24527980949141009</v>
      </c>
    </row>
    <row r="2482" spans="1:10" s="1370" customFormat="1" ht="12.75" customHeight="1">
      <c r="A2482" s="1408"/>
      <c r="B2482" s="4357"/>
      <c r="C2482" s="3684"/>
      <c r="D2482" s="3684"/>
      <c r="E2482" s="3657"/>
      <c r="F2482" s="3658"/>
      <c r="G2482" s="3659"/>
      <c r="H2482" s="3660"/>
    </row>
    <row r="2483" spans="1:10" s="1370" customFormat="1" ht="17.100000000000001" customHeight="1">
      <c r="A2483" s="1408"/>
      <c r="B2483" s="4357"/>
      <c r="C2483" s="4480" t="s">
        <v>704</v>
      </c>
      <c r="D2483" s="4481"/>
      <c r="E2483" s="3681">
        <f>SUM(E2485)</f>
        <v>3000</v>
      </c>
      <c r="F2483" s="3682">
        <f>SUM(F2485)</f>
        <v>3000</v>
      </c>
      <c r="G2483" s="3683">
        <f>SUM(G2485)</f>
        <v>3000</v>
      </c>
      <c r="H2483" s="3676">
        <f t="shared" ref="H2483:H2492" si="167">G2483/F2483</f>
        <v>1</v>
      </c>
    </row>
    <row r="2484" spans="1:10" s="1370" customFormat="1" ht="17.100000000000001" hidden="1" customHeight="1">
      <c r="A2484" s="1408"/>
      <c r="B2484" s="4357"/>
      <c r="C2484" s="3080" t="s">
        <v>707</v>
      </c>
      <c r="D2484" s="3685" t="s">
        <v>708</v>
      </c>
      <c r="E2484" s="3657">
        <v>0</v>
      </c>
      <c r="F2484" s="3658"/>
      <c r="G2484" s="3659"/>
      <c r="H2484" s="3660" t="e">
        <f t="shared" si="167"/>
        <v>#DIV/0!</v>
      </c>
    </row>
    <row r="2485" spans="1:10" s="1370" customFormat="1" ht="16.5" customHeight="1" thickBot="1">
      <c r="A2485" s="1408"/>
      <c r="B2485" s="1582"/>
      <c r="C2485" s="2144" t="s">
        <v>739</v>
      </c>
      <c r="D2485" s="3686" t="s">
        <v>740</v>
      </c>
      <c r="E2485" s="3655">
        <v>3000</v>
      </c>
      <c r="F2485" s="1538">
        <v>3000</v>
      </c>
      <c r="G2485" s="3656">
        <v>3000</v>
      </c>
      <c r="H2485" s="1540">
        <f t="shared" si="167"/>
        <v>1</v>
      </c>
    </row>
    <row r="2486" spans="1:10" s="1370" customFormat="1" ht="28.5" customHeight="1" thickBot="1">
      <c r="A2486" s="1429"/>
      <c r="B2486" s="1541" t="s">
        <v>1280</v>
      </c>
      <c r="C2486" s="1542"/>
      <c r="D2486" s="2184" t="s">
        <v>1281</v>
      </c>
      <c r="E2486" s="1544">
        <f t="shared" ref="E2486:G2487" si="168">SUM(E2487)</f>
        <v>1300</v>
      </c>
      <c r="F2486" s="1545">
        <f t="shared" si="168"/>
        <v>2472</v>
      </c>
      <c r="G2486" s="1546">
        <f t="shared" si="168"/>
        <v>1300</v>
      </c>
      <c r="H2486" s="1547">
        <f t="shared" si="167"/>
        <v>0.52588996763754048</v>
      </c>
    </row>
    <row r="2487" spans="1:10" s="1370" customFormat="1" ht="17.100000000000001" customHeight="1">
      <c r="A2487" s="1408"/>
      <c r="B2487" s="4473"/>
      <c r="C2487" s="4358" t="s">
        <v>688</v>
      </c>
      <c r="D2487" s="4358"/>
      <c r="E2487" s="2946">
        <f t="shared" si="168"/>
        <v>1300</v>
      </c>
      <c r="F2487" s="1418">
        <f t="shared" si="168"/>
        <v>2472</v>
      </c>
      <c r="G2487" s="2947">
        <f t="shared" si="168"/>
        <v>1300</v>
      </c>
      <c r="H2487" s="1509">
        <f t="shared" si="167"/>
        <v>0.52588996763754048</v>
      </c>
      <c r="J2487" s="1370" t="s">
        <v>809</v>
      </c>
    </row>
    <row r="2488" spans="1:10" s="1370" customFormat="1" ht="17.100000000000001" customHeight="1">
      <c r="A2488" s="1408"/>
      <c r="B2488" s="4473"/>
      <c r="C2488" s="4475" t="s">
        <v>689</v>
      </c>
      <c r="D2488" s="4475"/>
      <c r="E2488" s="3612">
        <f>SUM(E2489,E2494)</f>
        <v>1300</v>
      </c>
      <c r="F2488" s="3613">
        <f>SUM(F2489,F2494)</f>
        <v>2472</v>
      </c>
      <c r="G2488" s="3615">
        <f>SUM(G2489,G2494)</f>
        <v>1300</v>
      </c>
      <c r="H2488" s="3628">
        <f t="shared" si="167"/>
        <v>0.52588996763754048</v>
      </c>
    </row>
    <row r="2489" spans="1:10" s="1370" customFormat="1" ht="17.100000000000001" customHeight="1">
      <c r="A2489" s="1408"/>
      <c r="B2489" s="4473"/>
      <c r="C2489" s="4385" t="s">
        <v>690</v>
      </c>
      <c r="D2489" s="4385"/>
      <c r="E2489" s="3634">
        <f>SUM(E2490:E2492)</f>
        <v>0</v>
      </c>
      <c r="F2489" s="3635">
        <f>SUM(F2490:F2492)</f>
        <v>1172</v>
      </c>
      <c r="G2489" s="3636">
        <f>SUM(G2490:G2492)</f>
        <v>0</v>
      </c>
      <c r="H2489" s="3637">
        <f t="shared" si="167"/>
        <v>0</v>
      </c>
    </row>
    <row r="2490" spans="1:10" s="1370" customFormat="1" ht="17.100000000000001" customHeight="1">
      <c r="A2490" s="1408"/>
      <c r="B2490" s="4473"/>
      <c r="C2490" s="3687" t="s">
        <v>692</v>
      </c>
      <c r="D2490" s="3688" t="s">
        <v>693</v>
      </c>
      <c r="E2490" s="3612">
        <v>0</v>
      </c>
      <c r="F2490" s="3613">
        <v>980</v>
      </c>
      <c r="G2490" s="3631">
        <v>0</v>
      </c>
      <c r="H2490" s="3628">
        <f t="shared" si="167"/>
        <v>0</v>
      </c>
    </row>
    <row r="2491" spans="1:10" s="1370" customFormat="1" ht="17.100000000000001" customHeight="1">
      <c r="A2491" s="1408"/>
      <c r="B2491" s="4473"/>
      <c r="C2491" s="3616" t="s">
        <v>696</v>
      </c>
      <c r="D2491" s="3617" t="s">
        <v>697</v>
      </c>
      <c r="E2491" s="3612">
        <v>0</v>
      </c>
      <c r="F2491" s="3613">
        <v>168</v>
      </c>
      <c r="G2491" s="3631">
        <v>0</v>
      </c>
      <c r="H2491" s="3628">
        <f t="shared" si="167"/>
        <v>0</v>
      </c>
    </row>
    <row r="2492" spans="1:10" s="1370" customFormat="1" ht="17.100000000000001" customHeight="1">
      <c r="A2492" s="1408"/>
      <c r="B2492" s="4473"/>
      <c r="C2492" s="3616" t="s">
        <v>698</v>
      </c>
      <c r="D2492" s="3617" t="s">
        <v>750</v>
      </c>
      <c r="E2492" s="3612">
        <v>0</v>
      </c>
      <c r="F2492" s="3613">
        <v>24</v>
      </c>
      <c r="G2492" s="3631">
        <v>0</v>
      </c>
      <c r="H2492" s="3628">
        <f t="shared" si="167"/>
        <v>0</v>
      </c>
    </row>
    <row r="2493" spans="1:10" s="1370" customFormat="1" ht="17.100000000000001" customHeight="1">
      <c r="A2493" s="1408"/>
      <c r="B2493" s="4473"/>
      <c r="C2493" s="3689"/>
      <c r="D2493" s="3689"/>
      <c r="E2493" s="3612"/>
      <c r="F2493" s="3613"/>
      <c r="G2493" s="3631"/>
      <c r="H2493" s="3628"/>
    </row>
    <row r="2494" spans="1:10" s="1370" customFormat="1" ht="17.100000000000001" customHeight="1">
      <c r="A2494" s="1408"/>
      <c r="B2494" s="4473"/>
      <c r="C2494" s="4476" t="s">
        <v>704</v>
      </c>
      <c r="D2494" s="4476"/>
      <c r="E2494" s="3634">
        <f>SUM(E2496)</f>
        <v>1300</v>
      </c>
      <c r="F2494" s="3635">
        <f>SUM(F2496)</f>
        <v>1300</v>
      </c>
      <c r="G2494" s="3636">
        <f>SUM(G2496)</f>
        <v>1300</v>
      </c>
      <c r="H2494" s="3637">
        <f t="shared" ref="H2494:H2503" si="169">G2494/F2494</f>
        <v>1</v>
      </c>
    </row>
    <row r="2495" spans="1:10" s="1370" customFormat="1" ht="17.25" hidden="1" customHeight="1">
      <c r="A2495" s="1408"/>
      <c r="B2495" s="4473"/>
      <c r="C2495" s="3616" t="s">
        <v>707</v>
      </c>
      <c r="D2495" s="3617" t="s">
        <v>708</v>
      </c>
      <c r="E2495" s="3612">
        <v>0</v>
      </c>
      <c r="F2495" s="3613"/>
      <c r="G2495" s="3631"/>
      <c r="H2495" s="3628" t="e">
        <f t="shared" si="169"/>
        <v>#DIV/0!</v>
      </c>
    </row>
    <row r="2496" spans="1:10" s="1370" customFormat="1" ht="19.5" customHeight="1" thickBot="1">
      <c r="A2496" s="1408"/>
      <c r="B2496" s="4474"/>
      <c r="C2496" s="3690" t="s">
        <v>739</v>
      </c>
      <c r="D2496" s="3691" t="s">
        <v>740</v>
      </c>
      <c r="E2496" s="3655">
        <v>1300</v>
      </c>
      <c r="F2496" s="1538">
        <v>1300</v>
      </c>
      <c r="G2496" s="3692">
        <v>1300</v>
      </c>
      <c r="H2496" s="1540">
        <f t="shared" si="169"/>
        <v>1</v>
      </c>
    </row>
    <row r="2497" spans="1:10" s="1370" customFormat="1" ht="20.25" customHeight="1" thickBot="1">
      <c r="A2497" s="1429"/>
      <c r="B2497" s="1500" t="s">
        <v>1282</v>
      </c>
      <c r="C2497" s="2209"/>
      <c r="D2497" s="1502" t="s">
        <v>1283</v>
      </c>
      <c r="E2497" s="1503">
        <f t="shared" ref="E2497:G2498" si="170">SUM(E2498)</f>
        <v>100000</v>
      </c>
      <c r="F2497" s="1504">
        <f t="shared" si="170"/>
        <v>151636</v>
      </c>
      <c r="G2497" s="1505">
        <f t="shared" si="170"/>
        <v>100000</v>
      </c>
      <c r="H2497" s="1506">
        <f t="shared" si="169"/>
        <v>0.6594740035347807</v>
      </c>
    </row>
    <row r="2498" spans="1:10" s="1370" customFormat="1" ht="17.100000000000001" customHeight="1">
      <c r="A2498" s="1408"/>
      <c r="B2498" s="1429"/>
      <c r="C2498" s="4358" t="s">
        <v>688</v>
      </c>
      <c r="D2498" s="4358"/>
      <c r="E2498" s="3693">
        <f t="shared" si="170"/>
        <v>100000</v>
      </c>
      <c r="F2498" s="3694">
        <f t="shared" si="170"/>
        <v>151636</v>
      </c>
      <c r="G2498" s="3695">
        <f t="shared" si="170"/>
        <v>100000</v>
      </c>
      <c r="H2498" s="1509">
        <f t="shared" si="169"/>
        <v>0.6594740035347807</v>
      </c>
      <c r="J2498" s="1370" t="s">
        <v>809</v>
      </c>
    </row>
    <row r="2499" spans="1:10" s="1370" customFormat="1" ht="17.100000000000001" customHeight="1">
      <c r="A2499" s="1408"/>
      <c r="B2499" s="1429"/>
      <c r="C2499" s="4468" t="s">
        <v>689</v>
      </c>
      <c r="D2499" s="4468"/>
      <c r="E2499" s="3671">
        <f>SUM(E2500,E2505)</f>
        <v>100000</v>
      </c>
      <c r="F2499" s="3658">
        <f>SUM(F2500,F2505)</f>
        <v>151636</v>
      </c>
      <c r="G2499" s="3672">
        <f>SUM(G2500,G2505)</f>
        <v>100000</v>
      </c>
      <c r="H2499" s="3660">
        <f t="shared" si="169"/>
        <v>0.6594740035347807</v>
      </c>
    </row>
    <row r="2500" spans="1:10" s="1370" customFormat="1" ht="17.100000000000001" customHeight="1">
      <c r="A2500" s="1408"/>
      <c r="B2500" s="1429"/>
      <c r="C2500" s="4363" t="s">
        <v>690</v>
      </c>
      <c r="D2500" s="4469"/>
      <c r="E2500" s="3673">
        <f>SUM(E2501:E2503)</f>
        <v>97000</v>
      </c>
      <c r="F2500" s="3674">
        <f>SUM(F2501:F2503)</f>
        <v>148636</v>
      </c>
      <c r="G2500" s="3675">
        <f>SUM(G2501:G2503)</f>
        <v>97000</v>
      </c>
      <c r="H2500" s="3676">
        <f t="shared" si="169"/>
        <v>0.65260098495653807</v>
      </c>
    </row>
    <row r="2501" spans="1:10" s="1370" customFormat="1" ht="17.100000000000001" customHeight="1">
      <c r="A2501" s="1408"/>
      <c r="B2501" s="1429"/>
      <c r="C2501" s="3677" t="s">
        <v>692</v>
      </c>
      <c r="D2501" s="3678" t="s">
        <v>693</v>
      </c>
      <c r="E2501" s="3671">
        <v>81077</v>
      </c>
      <c r="F2501" s="3658">
        <v>124236</v>
      </c>
      <c r="G2501" s="3659">
        <v>81077</v>
      </c>
      <c r="H2501" s="3660">
        <f t="shared" si="169"/>
        <v>0.6526047200489391</v>
      </c>
    </row>
    <row r="2502" spans="1:10" s="1370" customFormat="1" ht="17.100000000000001" customHeight="1" thickBot="1">
      <c r="A2502" s="1516"/>
      <c r="B2502" s="1591"/>
      <c r="C2502" s="3696" t="s">
        <v>696</v>
      </c>
      <c r="D2502" s="3697" t="s">
        <v>697</v>
      </c>
      <c r="E2502" s="3698">
        <v>13937</v>
      </c>
      <c r="F2502" s="1538">
        <v>21356</v>
      </c>
      <c r="G2502" s="3656">
        <v>13937</v>
      </c>
      <c r="H2502" s="1540">
        <f t="shared" si="169"/>
        <v>0.65260348379846411</v>
      </c>
    </row>
    <row r="2503" spans="1:10" s="1370" customFormat="1" ht="16.5" customHeight="1">
      <c r="A2503" s="1585"/>
      <c r="B2503" s="1524"/>
      <c r="C2503" s="3699" t="s">
        <v>698</v>
      </c>
      <c r="D2503" s="3700" t="s">
        <v>699</v>
      </c>
      <c r="E2503" s="3701">
        <v>1986</v>
      </c>
      <c r="F2503" s="3702">
        <v>3044</v>
      </c>
      <c r="G2503" s="3703">
        <v>1986</v>
      </c>
      <c r="H2503" s="3704">
        <f t="shared" si="169"/>
        <v>0.65243101182654406</v>
      </c>
    </row>
    <row r="2504" spans="1:10" s="1370" customFormat="1" ht="16.5" customHeight="1">
      <c r="A2504" s="1408"/>
      <c r="B2504" s="1429"/>
      <c r="C2504" s="3705"/>
      <c r="D2504" s="3662"/>
      <c r="E2504" s="3671"/>
      <c r="F2504" s="3658"/>
      <c r="G2504" s="3659"/>
      <c r="H2504" s="3660"/>
    </row>
    <row r="2505" spans="1:10" s="1370" customFormat="1" ht="17.100000000000001" customHeight="1">
      <c r="A2505" s="1408"/>
      <c r="B2505" s="1429"/>
      <c r="C2505" s="4470" t="s">
        <v>704</v>
      </c>
      <c r="D2505" s="4470"/>
      <c r="E2505" s="3673">
        <f>SUM(E2507)</f>
        <v>3000</v>
      </c>
      <c r="F2505" s="3674">
        <f>SUM(F2507)</f>
        <v>3000</v>
      </c>
      <c r="G2505" s="3675">
        <f>SUM(G2507)</f>
        <v>3000</v>
      </c>
      <c r="H2505" s="3676">
        <f t="shared" ref="H2505:H2515" si="171">G2505/F2505</f>
        <v>1</v>
      </c>
    </row>
    <row r="2506" spans="1:10" s="1370" customFormat="1" ht="17.25" hidden="1" customHeight="1">
      <c r="A2506" s="1408"/>
      <c r="B2506" s="1429"/>
      <c r="C2506" s="3679" t="s">
        <v>707</v>
      </c>
      <c r="D2506" s="3680" t="s">
        <v>708</v>
      </c>
      <c r="E2506" s="3671">
        <v>0</v>
      </c>
      <c r="F2506" s="3658"/>
      <c r="G2506" s="3659"/>
      <c r="H2506" s="3660" t="e">
        <f t="shared" si="171"/>
        <v>#DIV/0!</v>
      </c>
    </row>
    <row r="2507" spans="1:10" s="1370" customFormat="1" ht="18.75" customHeight="1" thickBot="1">
      <c r="A2507" s="1408"/>
      <c r="B2507" s="1429"/>
      <c r="C2507" s="3706" t="s">
        <v>739</v>
      </c>
      <c r="D2507" s="3664" t="s">
        <v>740</v>
      </c>
      <c r="E2507" s="3657">
        <v>3000</v>
      </c>
      <c r="F2507" s="3658">
        <v>3000</v>
      </c>
      <c r="G2507" s="3659">
        <v>3000</v>
      </c>
      <c r="H2507" s="3668">
        <f t="shared" si="171"/>
        <v>1</v>
      </c>
    </row>
    <row r="2508" spans="1:10" s="1370" customFormat="1" ht="17.100000000000001" customHeight="1" thickBot="1">
      <c r="A2508" s="1408"/>
      <c r="B2508" s="1500" t="s">
        <v>1284</v>
      </c>
      <c r="C2508" s="1501"/>
      <c r="D2508" s="1502" t="s">
        <v>312</v>
      </c>
      <c r="E2508" s="1503">
        <f>SUM(E2509,E2526)</f>
        <v>37000</v>
      </c>
      <c r="F2508" s="1504">
        <f>SUM(F2509,F2526)</f>
        <v>140550</v>
      </c>
      <c r="G2508" s="1505">
        <f>SUM(G2509,G2526)</f>
        <v>194000</v>
      </c>
      <c r="H2508" s="1506">
        <f t="shared" si="171"/>
        <v>1.3802917111348274</v>
      </c>
    </row>
    <row r="2509" spans="1:10" s="1370" customFormat="1" ht="17.100000000000001" customHeight="1">
      <c r="A2509" s="1408"/>
      <c r="B2509" s="4357"/>
      <c r="C2509" s="4358" t="s">
        <v>688</v>
      </c>
      <c r="D2509" s="4358"/>
      <c r="E2509" s="3707">
        <f>SUM(E2510,E2523)</f>
        <v>37000</v>
      </c>
      <c r="F2509" s="3708">
        <f>SUM(F2510,F2523)</f>
        <v>80550</v>
      </c>
      <c r="G2509" s="3709">
        <f>SUM(G2510,G2523)</f>
        <v>194000</v>
      </c>
      <c r="H2509" s="1509">
        <f t="shared" si="171"/>
        <v>2.4084419615145873</v>
      </c>
    </row>
    <row r="2510" spans="1:10" s="1370" customFormat="1" ht="17.100000000000001" customHeight="1">
      <c r="A2510" s="1408"/>
      <c r="B2510" s="4357"/>
      <c r="C2510" s="4471" t="s">
        <v>689</v>
      </c>
      <c r="D2510" s="4471"/>
      <c r="E2510" s="3671">
        <f>SUM(E2511,E2517)</f>
        <v>37000</v>
      </c>
      <c r="F2510" s="3658">
        <f>SUM(F2511,F2517)</f>
        <v>56550</v>
      </c>
      <c r="G2510" s="3672">
        <f>SUM(G2511,G2517)</f>
        <v>194000</v>
      </c>
      <c r="H2510" s="3660">
        <f t="shared" si="171"/>
        <v>3.4305923961096374</v>
      </c>
    </row>
    <row r="2511" spans="1:10" s="1370" customFormat="1" ht="17.100000000000001" customHeight="1">
      <c r="A2511" s="1408"/>
      <c r="B2511" s="4357"/>
      <c r="C2511" s="4363" t="s">
        <v>690</v>
      </c>
      <c r="D2511" s="4469"/>
      <c r="E2511" s="3673">
        <f>SUM(E2514)</f>
        <v>2500</v>
      </c>
      <c r="F2511" s="3674">
        <f>SUM(F2514)</f>
        <v>17700</v>
      </c>
      <c r="G2511" s="3675">
        <f>SUM(G2514)</f>
        <v>2500</v>
      </c>
      <c r="H2511" s="3676">
        <f t="shared" si="171"/>
        <v>0.14124293785310735</v>
      </c>
    </row>
    <row r="2512" spans="1:10" s="1370" customFormat="1" ht="17.100000000000001" hidden="1" customHeight="1">
      <c r="A2512" s="1408"/>
      <c r="B2512" s="4357"/>
      <c r="C2512" s="3710" t="s">
        <v>696</v>
      </c>
      <c r="D2512" s="3678" t="s">
        <v>693</v>
      </c>
      <c r="E2512" s="3671">
        <v>0</v>
      </c>
      <c r="F2512" s="3658"/>
      <c r="G2512" s="3659"/>
      <c r="H2512" s="3660" t="e">
        <f t="shared" si="171"/>
        <v>#DIV/0!</v>
      </c>
    </row>
    <row r="2513" spans="1:10" s="1370" customFormat="1" ht="24.75" hidden="1" customHeight="1">
      <c r="A2513" s="1408"/>
      <c r="B2513" s="4357"/>
      <c r="C2513" s="3710" t="s">
        <v>698</v>
      </c>
      <c r="D2513" s="3680" t="s">
        <v>831</v>
      </c>
      <c r="E2513" s="3671">
        <v>0</v>
      </c>
      <c r="F2513" s="3658"/>
      <c r="G2513" s="3659"/>
      <c r="H2513" s="3660" t="e">
        <f t="shared" si="171"/>
        <v>#DIV/0!</v>
      </c>
    </row>
    <row r="2514" spans="1:10" s="1370" customFormat="1" ht="17.100000000000001" customHeight="1">
      <c r="A2514" s="1408"/>
      <c r="B2514" s="4357"/>
      <c r="C2514" s="3710" t="s">
        <v>700</v>
      </c>
      <c r="D2514" s="3711" t="s">
        <v>701</v>
      </c>
      <c r="E2514" s="3671">
        <v>2500</v>
      </c>
      <c r="F2514" s="3658">
        <v>17700</v>
      </c>
      <c r="G2514" s="3659">
        <v>2500</v>
      </c>
      <c r="H2514" s="3660">
        <f t="shared" si="171"/>
        <v>0.14124293785310735</v>
      </c>
      <c r="J2514" s="1370" t="s">
        <v>1270</v>
      </c>
    </row>
    <row r="2515" spans="1:10" s="1370" customFormat="1" ht="17.100000000000001" hidden="1" customHeight="1">
      <c r="A2515" s="1408"/>
      <c r="B2515" s="4357"/>
      <c r="C2515" s="3710" t="s">
        <v>702</v>
      </c>
      <c r="D2515" s="3712" t="s">
        <v>703</v>
      </c>
      <c r="E2515" s="3671">
        <v>0</v>
      </c>
      <c r="F2515" s="3658"/>
      <c r="G2515" s="3659"/>
      <c r="H2515" s="3660" t="e">
        <f t="shared" si="171"/>
        <v>#DIV/0!</v>
      </c>
    </row>
    <row r="2516" spans="1:10" s="1370" customFormat="1" ht="17.100000000000001" customHeight="1">
      <c r="A2516" s="1408"/>
      <c r="B2516" s="4357"/>
      <c r="C2516" s="3711"/>
      <c r="D2516" s="3711"/>
      <c r="E2516" s="3671"/>
      <c r="F2516" s="3658"/>
      <c r="G2516" s="3659"/>
      <c r="H2516" s="3660"/>
    </row>
    <row r="2517" spans="1:10" s="1370" customFormat="1" ht="17.100000000000001" customHeight="1">
      <c r="A2517" s="1408"/>
      <c r="B2517" s="4357"/>
      <c r="C2517" s="4472" t="s">
        <v>704</v>
      </c>
      <c r="D2517" s="4472"/>
      <c r="E2517" s="3673">
        <f>SUM(E2520:E2521)</f>
        <v>34500</v>
      </c>
      <c r="F2517" s="3674">
        <f>SUM(F2520:F2521)</f>
        <v>38850</v>
      </c>
      <c r="G2517" s="3675">
        <f>SUM(G2520:G2521)</f>
        <v>191500</v>
      </c>
      <c r="H2517" s="3676">
        <f>G2517/F2517</f>
        <v>4.929214929214929</v>
      </c>
    </row>
    <row r="2518" spans="1:10" s="1370" customFormat="1" ht="17.100000000000001" hidden="1" customHeight="1">
      <c r="A2518" s="1408"/>
      <c r="B2518" s="4357"/>
      <c r="C2518" s="3713" t="s">
        <v>810</v>
      </c>
      <c r="D2518" s="3684" t="s">
        <v>777</v>
      </c>
      <c r="E2518" s="3657">
        <v>0</v>
      </c>
      <c r="F2518" s="3658"/>
      <c r="G2518" s="3659"/>
      <c r="H2518" s="3660" t="e">
        <f>G2518/F2518</f>
        <v>#DIV/0!</v>
      </c>
    </row>
    <row r="2519" spans="1:10" s="1370" customFormat="1" ht="17.100000000000001" hidden="1" customHeight="1">
      <c r="A2519" s="1408"/>
      <c r="B2519" s="4357"/>
      <c r="C2519" s="3713" t="s">
        <v>707</v>
      </c>
      <c r="D2519" s="3684" t="s">
        <v>708</v>
      </c>
      <c r="E2519" s="3657">
        <v>0</v>
      </c>
      <c r="F2519" s="3658"/>
      <c r="G2519" s="3659"/>
      <c r="H2519" s="3660" t="e">
        <f>G2519/F2519</f>
        <v>#DIV/0!</v>
      </c>
    </row>
    <row r="2520" spans="1:10" s="1370" customFormat="1" ht="17.100000000000001" customHeight="1">
      <c r="A2520" s="1408"/>
      <c r="B2520" s="4357"/>
      <c r="C2520" s="1478" t="s">
        <v>717</v>
      </c>
      <c r="D2520" s="3664" t="s">
        <v>718</v>
      </c>
      <c r="E2520" s="3657">
        <v>22000</v>
      </c>
      <c r="F2520" s="3658">
        <v>26350</v>
      </c>
      <c r="G2520" s="3659">
        <v>175000</v>
      </c>
      <c r="H2520" s="3660">
        <f>G2520/F2520</f>
        <v>6.6413662239089186</v>
      </c>
      <c r="J2520" s="1370" t="s">
        <v>1270</v>
      </c>
    </row>
    <row r="2521" spans="1:10" s="1370" customFormat="1" ht="17.100000000000001" customHeight="1">
      <c r="A2521" s="1408"/>
      <c r="B2521" s="4357"/>
      <c r="C2521" s="3714" t="s">
        <v>721</v>
      </c>
      <c r="D2521" s="3680" t="s">
        <v>722</v>
      </c>
      <c r="E2521" s="3657">
        <v>12500</v>
      </c>
      <c r="F2521" s="3658">
        <v>12500</v>
      </c>
      <c r="G2521" s="3659">
        <v>16500</v>
      </c>
      <c r="H2521" s="3660">
        <f>G2521/F2521</f>
        <v>1.32</v>
      </c>
      <c r="J2521" s="1370" t="s">
        <v>1270</v>
      </c>
    </row>
    <row r="2522" spans="1:10" s="1370" customFormat="1" ht="17.100000000000001" customHeight="1">
      <c r="A2522" s="1429"/>
      <c r="B2522" s="1469"/>
      <c r="C2522" s="4462"/>
      <c r="D2522" s="4463"/>
      <c r="E2522" s="3671"/>
      <c r="F2522" s="3658"/>
      <c r="G2522" s="3659"/>
      <c r="H2522" s="3660"/>
    </row>
    <row r="2523" spans="1:10" s="1370" customFormat="1" ht="17.100000000000001" customHeight="1">
      <c r="A2523" s="1408"/>
      <c r="B2523" s="1469"/>
      <c r="C2523" s="4464" t="s">
        <v>797</v>
      </c>
      <c r="D2523" s="4464"/>
      <c r="E2523" s="2954">
        <f>SUM(E2524)</f>
        <v>0</v>
      </c>
      <c r="F2523" s="1451">
        <f>SUM(F2524)</f>
        <v>24000</v>
      </c>
      <c r="G2523" s="2983">
        <f>SUM(G2524)</f>
        <v>0</v>
      </c>
      <c r="H2523" s="1453">
        <f>G2523/F2523</f>
        <v>0</v>
      </c>
    </row>
    <row r="2524" spans="1:10" s="1370" customFormat="1" ht="31.5" customHeight="1">
      <c r="A2524" s="1408"/>
      <c r="B2524" s="1469"/>
      <c r="C2524" s="3679" t="s">
        <v>353</v>
      </c>
      <c r="D2524" s="3680" t="s">
        <v>932</v>
      </c>
      <c r="E2524" s="3671">
        <v>0</v>
      </c>
      <c r="F2524" s="3658">
        <v>24000</v>
      </c>
      <c r="G2524" s="3659">
        <v>0</v>
      </c>
      <c r="H2524" s="3660">
        <f>G2524/F2524</f>
        <v>0</v>
      </c>
    </row>
    <row r="2525" spans="1:10" s="1370" customFormat="1" ht="17.100000000000001" customHeight="1">
      <c r="A2525" s="1408"/>
      <c r="B2525" s="1469"/>
      <c r="C2525" s="4462"/>
      <c r="D2525" s="4463"/>
      <c r="E2525" s="3671"/>
      <c r="F2525" s="3658"/>
      <c r="G2525" s="3659"/>
      <c r="H2525" s="3660"/>
    </row>
    <row r="2526" spans="1:10" s="1370" customFormat="1" ht="17.100000000000001" customHeight="1">
      <c r="A2526" s="1408"/>
      <c r="B2526" s="1469"/>
      <c r="C2526" s="4373" t="s">
        <v>744</v>
      </c>
      <c r="D2526" s="4465"/>
      <c r="E2526" s="3693">
        <f>SUM(E2527)</f>
        <v>0</v>
      </c>
      <c r="F2526" s="3694">
        <f>SUM(F2527)</f>
        <v>60000</v>
      </c>
      <c r="G2526" s="3695">
        <f>SUM(G2527)</f>
        <v>0</v>
      </c>
      <c r="H2526" s="3715">
        <f t="shared" ref="H2526:H2535" si="172">G2526/F2526</f>
        <v>0</v>
      </c>
    </row>
    <row r="2527" spans="1:10" s="1370" customFormat="1" ht="17.100000000000001" customHeight="1">
      <c r="A2527" s="1408"/>
      <c r="B2527" s="1469"/>
      <c r="C2527" s="4466" t="s">
        <v>745</v>
      </c>
      <c r="D2527" s="4467"/>
      <c r="E2527" s="3671">
        <f>SUM(E2529)</f>
        <v>0</v>
      </c>
      <c r="F2527" s="3658">
        <f>SUM(F2529)</f>
        <v>60000</v>
      </c>
      <c r="G2527" s="3672">
        <f>SUM(G2529)</f>
        <v>0</v>
      </c>
      <c r="H2527" s="3660">
        <f t="shared" si="172"/>
        <v>0</v>
      </c>
    </row>
    <row r="2528" spans="1:10" s="1370" customFormat="1" ht="58.5" hidden="1" customHeight="1">
      <c r="A2528" s="1408"/>
      <c r="B2528" s="1469"/>
      <c r="C2528" s="3679" t="s">
        <v>841</v>
      </c>
      <c r="D2528" s="3712" t="s">
        <v>1285</v>
      </c>
      <c r="E2528" s="3657">
        <v>0</v>
      </c>
      <c r="F2528" s="3658"/>
      <c r="G2528" s="3659"/>
      <c r="H2528" s="3660" t="e">
        <f t="shared" si="172"/>
        <v>#DIV/0!</v>
      </c>
    </row>
    <row r="2529" spans="1:10" s="1370" customFormat="1" ht="42.75" customHeight="1" thickBot="1">
      <c r="A2529" s="1516"/>
      <c r="B2529" s="1582"/>
      <c r="C2529" s="3696" t="s">
        <v>880</v>
      </c>
      <c r="D2529" s="3697" t="s">
        <v>881</v>
      </c>
      <c r="E2529" s="3698">
        <v>0</v>
      </c>
      <c r="F2529" s="1538">
        <v>60000</v>
      </c>
      <c r="G2529" s="3716">
        <v>0</v>
      </c>
      <c r="H2529" s="1540">
        <f t="shared" si="172"/>
        <v>0</v>
      </c>
    </row>
    <row r="2530" spans="1:10" s="1622" customFormat="1" ht="17.100000000000001" customHeight="1" thickBot="1">
      <c r="A2530" s="1614" t="s">
        <v>1286</v>
      </c>
      <c r="B2530" s="3717"/>
      <c r="C2530" s="3718"/>
      <c r="D2530" s="3719" t="s">
        <v>1287</v>
      </c>
      <c r="E2530" s="1618">
        <f>SUM(E2531,E2549,E2558,E2567,E2586,E2596,E2605,E2621,E2636,E2653)</f>
        <v>95239293</v>
      </c>
      <c r="F2530" s="1619">
        <f>SUM(F2531,F2549,F2558,F2567,F2586,F2596,F2605,F2621,F2636,F2653)</f>
        <v>110624956</v>
      </c>
      <c r="G2530" s="1620">
        <f>SUM(G2531,G2549,G2558,G2567,G2586,G2596,G2605,G2621,G2636,G2653)</f>
        <v>110563856</v>
      </c>
      <c r="H2530" s="1621">
        <f t="shared" si="172"/>
        <v>0.99944768339614076</v>
      </c>
      <c r="J2530" s="1370"/>
    </row>
    <row r="2531" spans="1:10" s="1622" customFormat="1" ht="17.100000000000001" customHeight="1" thickBot="1">
      <c r="A2531" s="1631"/>
      <c r="B2531" s="1624" t="s">
        <v>1288</v>
      </c>
      <c r="C2531" s="1625"/>
      <c r="D2531" s="1626" t="s">
        <v>1289</v>
      </c>
      <c r="E2531" s="1627">
        <f>SUM(E2532,E2545)</f>
        <v>924000</v>
      </c>
      <c r="F2531" s="1628">
        <f>SUM(F2532,F2545)</f>
        <v>945004</v>
      </c>
      <c r="G2531" s="1629">
        <f>SUM(G2532,G2545)</f>
        <v>1027600</v>
      </c>
      <c r="H2531" s="1630">
        <f t="shared" si="172"/>
        <v>1.0874028046442132</v>
      </c>
      <c r="J2531" s="1370"/>
    </row>
    <row r="2532" spans="1:10" s="1622" customFormat="1" ht="17.100000000000001" customHeight="1">
      <c r="A2532" s="1631"/>
      <c r="B2532" s="1637"/>
      <c r="C2532" s="4426" t="s">
        <v>688</v>
      </c>
      <c r="D2532" s="4426"/>
      <c r="E2532" s="2506">
        <f>SUM(E2533,E2537,E2541)</f>
        <v>924000</v>
      </c>
      <c r="F2532" s="1634">
        <f>SUM(F2533,F2537,F2541)</f>
        <v>933004</v>
      </c>
      <c r="G2532" s="2507">
        <f>SUM(G2533,G2537,G2541)</f>
        <v>1027600</v>
      </c>
      <c r="H2532" s="1636">
        <f t="shared" si="172"/>
        <v>1.1013886328461615</v>
      </c>
      <c r="J2532" s="1370"/>
    </row>
    <row r="2533" spans="1:10" s="1622" customFormat="1" ht="17.100000000000001" customHeight="1">
      <c r="A2533" s="1631"/>
      <c r="B2533" s="1637"/>
      <c r="C2533" s="4457" t="s">
        <v>689</v>
      </c>
      <c r="D2533" s="4457"/>
      <c r="E2533" s="2459">
        <f t="shared" ref="E2533:G2534" si="173">SUM(E2534)</f>
        <v>7000</v>
      </c>
      <c r="F2533" s="1859">
        <f t="shared" si="173"/>
        <v>7000</v>
      </c>
      <c r="G2533" s="2537">
        <f t="shared" si="173"/>
        <v>7000</v>
      </c>
      <c r="H2533" s="3720">
        <f t="shared" si="172"/>
        <v>1</v>
      </c>
      <c r="J2533" s="1370"/>
    </row>
    <row r="2534" spans="1:10" s="1622" customFormat="1" ht="17.100000000000001" customHeight="1">
      <c r="A2534" s="1631"/>
      <c r="B2534" s="1637"/>
      <c r="C2534" s="4458" t="s">
        <v>704</v>
      </c>
      <c r="D2534" s="4459"/>
      <c r="E2534" s="3721">
        <f t="shared" si="173"/>
        <v>7000</v>
      </c>
      <c r="F2534" s="3722">
        <f t="shared" si="173"/>
        <v>7000</v>
      </c>
      <c r="G2534" s="3723">
        <f t="shared" si="173"/>
        <v>7000</v>
      </c>
      <c r="H2534" s="3724">
        <f t="shared" si="172"/>
        <v>1</v>
      </c>
      <c r="J2534" s="1370"/>
    </row>
    <row r="2535" spans="1:10" s="1622" customFormat="1" ht="17.100000000000001" customHeight="1">
      <c r="A2535" s="1631"/>
      <c r="B2535" s="1637"/>
      <c r="C2535" s="3725" t="s">
        <v>717</v>
      </c>
      <c r="D2535" s="3726" t="s">
        <v>718</v>
      </c>
      <c r="E2535" s="2459">
        <v>7000</v>
      </c>
      <c r="F2535" s="3727">
        <v>7000</v>
      </c>
      <c r="G2535" s="3728">
        <v>7000</v>
      </c>
      <c r="H2535" s="3720">
        <f t="shared" si="172"/>
        <v>1</v>
      </c>
      <c r="J2535" s="1370"/>
    </row>
    <row r="2536" spans="1:10" s="1622" customFormat="1" ht="14.25" customHeight="1">
      <c r="A2536" s="1653"/>
      <c r="B2536" s="1637"/>
      <c r="C2536" s="3729"/>
      <c r="D2536" s="3729"/>
      <c r="E2536" s="2506"/>
      <c r="F2536" s="1859"/>
      <c r="G2536" s="2558"/>
      <c r="H2536" s="1659"/>
      <c r="J2536" s="1370"/>
    </row>
    <row r="2537" spans="1:10" s="1622" customFormat="1" ht="17.100000000000001" customHeight="1">
      <c r="A2537" s="1631"/>
      <c r="B2537" s="1637"/>
      <c r="C2537" s="4406" t="s">
        <v>797</v>
      </c>
      <c r="D2537" s="4406"/>
      <c r="E2537" s="3730">
        <f>SUM(E2538:E2539)</f>
        <v>700000</v>
      </c>
      <c r="F2537" s="3727">
        <f>SUM(F2538:F2539)</f>
        <v>655504</v>
      </c>
      <c r="G2537" s="3731">
        <f>SUM(G2538:G2539)</f>
        <v>770000</v>
      </c>
      <c r="H2537" s="3720">
        <f>G2537/F2537</f>
        <v>1.1746686519075398</v>
      </c>
      <c r="J2537" s="1370"/>
    </row>
    <row r="2538" spans="1:10" s="1622" customFormat="1" ht="53.25" customHeight="1">
      <c r="A2538" s="1631"/>
      <c r="B2538" s="1637"/>
      <c r="C2538" s="3732" t="s">
        <v>374</v>
      </c>
      <c r="D2538" s="3733" t="s">
        <v>817</v>
      </c>
      <c r="E2538" s="3734">
        <v>700000</v>
      </c>
      <c r="F2538" s="3727">
        <v>632000</v>
      </c>
      <c r="G2538" s="3735">
        <v>770000</v>
      </c>
      <c r="H2538" s="3720">
        <f>G2538/F2538</f>
        <v>1.2183544303797469</v>
      </c>
      <c r="J2538" s="1370"/>
    </row>
    <row r="2539" spans="1:10" s="1622" customFormat="1" ht="43.5" customHeight="1">
      <c r="A2539" s="1631"/>
      <c r="B2539" s="1637"/>
      <c r="C2539" s="3736" t="s">
        <v>353</v>
      </c>
      <c r="D2539" s="3284" t="s">
        <v>932</v>
      </c>
      <c r="E2539" s="3734">
        <v>0</v>
      </c>
      <c r="F2539" s="3727">
        <v>23504</v>
      </c>
      <c r="G2539" s="3735">
        <v>0</v>
      </c>
      <c r="H2539" s="3720">
        <f>G2539/F2539</f>
        <v>0</v>
      </c>
      <c r="J2539" s="1370"/>
    </row>
    <row r="2540" spans="1:10" s="1622" customFormat="1" ht="17.100000000000001" customHeight="1">
      <c r="A2540" s="1631"/>
      <c r="B2540" s="1637"/>
      <c r="C2540" s="1865"/>
      <c r="D2540" s="1865"/>
      <c r="E2540" s="1866"/>
      <c r="F2540" s="3727"/>
      <c r="G2540" s="3735"/>
      <c r="H2540" s="3720"/>
      <c r="J2540" s="1370"/>
    </row>
    <row r="2541" spans="1:10" s="1622" customFormat="1" ht="17.100000000000001" customHeight="1">
      <c r="A2541" s="1631"/>
      <c r="B2541" s="1637"/>
      <c r="C2541" s="4451" t="s">
        <v>741</v>
      </c>
      <c r="D2541" s="4451"/>
      <c r="E2541" s="3734">
        <f>SUM(E2542:E2543)</f>
        <v>217000</v>
      </c>
      <c r="F2541" s="3727">
        <f>SUM(F2542:F2543)</f>
        <v>270500</v>
      </c>
      <c r="G2541" s="3737">
        <f>SUM(G2542:G2543)</f>
        <v>250600</v>
      </c>
      <c r="H2541" s="3720">
        <f>G2541/F2541</f>
        <v>0.92643253234750467</v>
      </c>
      <c r="J2541" s="1370"/>
    </row>
    <row r="2542" spans="1:10" s="1622" customFormat="1" ht="17.100000000000001" customHeight="1">
      <c r="A2542" s="1631"/>
      <c r="B2542" s="1637"/>
      <c r="C2542" s="3732" t="s">
        <v>1147</v>
      </c>
      <c r="D2542" s="3733" t="s">
        <v>1148</v>
      </c>
      <c r="E2542" s="3734">
        <v>193000</v>
      </c>
      <c r="F2542" s="3727">
        <v>220500</v>
      </c>
      <c r="G2542" s="3735">
        <v>222000</v>
      </c>
      <c r="H2542" s="3720">
        <f>G2542/F2542</f>
        <v>1.0068027210884354</v>
      </c>
      <c r="J2542" s="1370"/>
    </row>
    <row r="2543" spans="1:10" s="1622" customFormat="1" ht="17.100000000000001" customHeight="1">
      <c r="A2543" s="1631"/>
      <c r="B2543" s="1637"/>
      <c r="C2543" s="3738" t="s">
        <v>962</v>
      </c>
      <c r="D2543" s="3739" t="s">
        <v>963</v>
      </c>
      <c r="E2543" s="3734">
        <v>24000</v>
      </c>
      <c r="F2543" s="3727">
        <v>50000</v>
      </c>
      <c r="G2543" s="3735">
        <v>28600</v>
      </c>
      <c r="H2543" s="3720">
        <f>G2543/F2543</f>
        <v>0.57199999999999995</v>
      </c>
      <c r="J2543" s="1370"/>
    </row>
    <row r="2544" spans="1:10" s="1622" customFormat="1" ht="17.100000000000001" customHeight="1">
      <c r="A2544" s="1631"/>
      <c r="B2544" s="1671"/>
      <c r="C2544" s="2648"/>
      <c r="D2544" s="2649"/>
      <c r="E2544" s="3734"/>
      <c r="F2544" s="3727"/>
      <c r="G2544" s="3735"/>
      <c r="H2544" s="3720"/>
      <c r="J2544" s="1370"/>
    </row>
    <row r="2545" spans="1:10" s="1622" customFormat="1" ht="17.100000000000001" customHeight="1">
      <c r="A2545" s="1631"/>
      <c r="B2545" s="1671"/>
      <c r="C2545" s="4460" t="s">
        <v>744</v>
      </c>
      <c r="D2545" s="4461"/>
      <c r="E2545" s="3740">
        <f>SUM(E2546)</f>
        <v>0</v>
      </c>
      <c r="F2545" s="3741">
        <f>SUM(F2546)</f>
        <v>12000</v>
      </c>
      <c r="G2545" s="3742">
        <f>SUM(G2546)</f>
        <v>0</v>
      </c>
      <c r="H2545" s="3743">
        <f t="shared" ref="H2545:H2553" si="174">G2545/F2545</f>
        <v>0</v>
      </c>
      <c r="J2545" s="1370"/>
    </row>
    <row r="2546" spans="1:10" s="1622" customFormat="1" ht="17.100000000000001" customHeight="1">
      <c r="A2546" s="1631"/>
      <c r="B2546" s="1671"/>
      <c r="C2546" s="4436" t="s">
        <v>745</v>
      </c>
      <c r="D2546" s="4437"/>
      <c r="E2546" s="3734">
        <f>SUM(E2548)</f>
        <v>0</v>
      </c>
      <c r="F2546" s="3727">
        <f>SUM(F2548)</f>
        <v>12000</v>
      </c>
      <c r="G2546" s="3737">
        <f>SUM(G2548)</f>
        <v>0</v>
      </c>
      <c r="H2546" s="3720">
        <f t="shared" si="174"/>
        <v>0</v>
      </c>
      <c r="J2546" s="1370"/>
    </row>
    <row r="2547" spans="1:10" s="1622" customFormat="1" ht="52.5" hidden="1" customHeight="1">
      <c r="A2547" s="1631"/>
      <c r="B2547" s="1671"/>
      <c r="C2547" s="3732" t="s">
        <v>1075</v>
      </c>
      <c r="D2547" s="3744" t="s">
        <v>1076</v>
      </c>
      <c r="E2547" s="3745">
        <v>0</v>
      </c>
      <c r="F2547" s="3727"/>
      <c r="G2547" s="3735"/>
      <c r="H2547" s="3720" t="e">
        <f t="shared" si="174"/>
        <v>#DIV/0!</v>
      </c>
      <c r="J2547" s="1370"/>
    </row>
    <row r="2548" spans="1:10" s="1622" customFormat="1" ht="42.75" customHeight="1" thickBot="1">
      <c r="A2548" s="1631"/>
      <c r="B2548" s="1674"/>
      <c r="C2548" s="3746" t="s">
        <v>880</v>
      </c>
      <c r="D2548" s="3747" t="s">
        <v>881</v>
      </c>
      <c r="E2548" s="3748">
        <v>0</v>
      </c>
      <c r="F2548" s="1676">
        <v>12000</v>
      </c>
      <c r="G2548" s="3749">
        <v>0</v>
      </c>
      <c r="H2548" s="1678">
        <f t="shared" si="174"/>
        <v>0</v>
      </c>
      <c r="J2548" s="1370"/>
    </row>
    <row r="2549" spans="1:10" s="1622" customFormat="1" ht="17.100000000000001" customHeight="1" thickBot="1">
      <c r="A2549" s="1653"/>
      <c r="B2549" s="2513" t="s">
        <v>1290</v>
      </c>
      <c r="C2549" s="2514"/>
      <c r="D2549" s="2515" t="s">
        <v>1291</v>
      </c>
      <c r="E2549" s="2516">
        <f>SUM(E2550,E2555)</f>
        <v>8905406</v>
      </c>
      <c r="F2549" s="2517">
        <f>SUM(F2550,F2555)</f>
        <v>9985324</v>
      </c>
      <c r="G2549" s="2518">
        <f>SUM(G2550,G2555)</f>
        <v>13194231</v>
      </c>
      <c r="H2549" s="2519">
        <f t="shared" si="174"/>
        <v>1.3213623313575003</v>
      </c>
      <c r="J2549" s="1370"/>
    </row>
    <row r="2550" spans="1:10" s="1622" customFormat="1" ht="17.100000000000001" customHeight="1">
      <c r="A2550" s="1631"/>
      <c r="B2550" s="4416"/>
      <c r="C2550" s="4426" t="s">
        <v>688</v>
      </c>
      <c r="D2550" s="4426"/>
      <c r="E2550" s="2506">
        <f>SUM(E2551)</f>
        <v>7585406</v>
      </c>
      <c r="F2550" s="1634">
        <f>SUM(F2551)</f>
        <v>8639706</v>
      </c>
      <c r="G2550" s="2507">
        <f>SUM(G2551)</f>
        <v>8307581</v>
      </c>
      <c r="H2550" s="1636">
        <f t="shared" si="174"/>
        <v>0.96155829839580187</v>
      </c>
      <c r="J2550" s="1370"/>
    </row>
    <row r="2551" spans="1:10" s="1622" customFormat="1" ht="17.100000000000001" customHeight="1">
      <c r="A2551" s="1631"/>
      <c r="B2551" s="4416"/>
      <c r="C2551" s="4443" t="s">
        <v>797</v>
      </c>
      <c r="D2551" s="4443"/>
      <c r="E2551" s="3734">
        <f>SUM(E2552:E2553)</f>
        <v>7585406</v>
      </c>
      <c r="F2551" s="3727">
        <f>SUM(F2552:F2553)</f>
        <v>8639706</v>
      </c>
      <c r="G2551" s="3737">
        <f>SUM(G2552:G2553)</f>
        <v>8307581</v>
      </c>
      <c r="H2551" s="3720">
        <f t="shared" si="174"/>
        <v>0.96155829839580187</v>
      </c>
      <c r="J2551" s="1370"/>
    </row>
    <row r="2552" spans="1:10" s="1622" customFormat="1" ht="17.100000000000001" customHeight="1">
      <c r="A2552" s="1631"/>
      <c r="B2552" s="4416"/>
      <c r="C2552" s="3732" t="s">
        <v>1292</v>
      </c>
      <c r="D2552" s="3733" t="s">
        <v>1293</v>
      </c>
      <c r="E2552" s="3734">
        <v>6585406</v>
      </c>
      <c r="F2552" s="3727">
        <v>7054406</v>
      </c>
      <c r="G2552" s="3735">
        <v>7207581</v>
      </c>
      <c r="H2552" s="3720">
        <f t="shared" si="174"/>
        <v>1.0217133802619243</v>
      </c>
      <c r="J2552" s="1370"/>
    </row>
    <row r="2553" spans="1:10" s="1622" customFormat="1" ht="27.75" customHeight="1">
      <c r="A2553" s="1631"/>
      <c r="B2553" s="4416"/>
      <c r="C2553" s="3732" t="s">
        <v>861</v>
      </c>
      <c r="D2553" s="3733" t="s">
        <v>862</v>
      </c>
      <c r="E2553" s="3734">
        <v>1000000</v>
      </c>
      <c r="F2553" s="3727">
        <v>1585300</v>
      </c>
      <c r="G2553" s="3735">
        <v>1100000</v>
      </c>
      <c r="H2553" s="3720">
        <f t="shared" si="174"/>
        <v>0.69387497634517126</v>
      </c>
      <c r="J2553" s="1370"/>
    </row>
    <row r="2554" spans="1:10" s="1622" customFormat="1" ht="15">
      <c r="A2554" s="1631"/>
      <c r="B2554" s="1671"/>
      <c r="C2554" s="4453"/>
      <c r="D2554" s="4454"/>
      <c r="E2554" s="3734"/>
      <c r="F2554" s="3727"/>
      <c r="G2554" s="3735"/>
      <c r="H2554" s="3720"/>
      <c r="J2554" s="1370"/>
    </row>
    <row r="2555" spans="1:10" s="1622" customFormat="1" ht="15">
      <c r="A2555" s="1631"/>
      <c r="B2555" s="1671"/>
      <c r="C2555" s="4455" t="s">
        <v>744</v>
      </c>
      <c r="D2555" s="4456"/>
      <c r="E2555" s="3740">
        <f t="shared" ref="E2555:G2556" si="175">SUM(E2556)</f>
        <v>1320000</v>
      </c>
      <c r="F2555" s="3741">
        <f t="shared" si="175"/>
        <v>1345618</v>
      </c>
      <c r="G2555" s="3742">
        <f t="shared" si="175"/>
        <v>4886650</v>
      </c>
      <c r="H2555" s="3743">
        <f t="shared" ref="H2555:H2562" si="176">G2555/F2555</f>
        <v>3.6315284129671275</v>
      </c>
      <c r="J2555" s="1370"/>
    </row>
    <row r="2556" spans="1:10" s="1622" customFormat="1" ht="15">
      <c r="A2556" s="1631"/>
      <c r="B2556" s="1671"/>
      <c r="C2556" s="4451" t="s">
        <v>745</v>
      </c>
      <c r="D2556" s="4452"/>
      <c r="E2556" s="3734">
        <f t="shared" si="175"/>
        <v>1320000</v>
      </c>
      <c r="F2556" s="3727">
        <f t="shared" si="175"/>
        <v>1345618</v>
      </c>
      <c r="G2556" s="3737">
        <f t="shared" si="175"/>
        <v>4886650</v>
      </c>
      <c r="H2556" s="3720">
        <f t="shared" si="176"/>
        <v>3.6315284129671275</v>
      </c>
      <c r="J2556" s="1370"/>
    </row>
    <row r="2557" spans="1:10" s="1622" customFormat="1" ht="48" customHeight="1" thickBot="1">
      <c r="A2557" s="1631"/>
      <c r="B2557" s="1671"/>
      <c r="C2557" s="3750" t="s">
        <v>973</v>
      </c>
      <c r="D2557" s="3751" t="s">
        <v>974</v>
      </c>
      <c r="E2557" s="3745">
        <v>1320000</v>
      </c>
      <c r="F2557" s="3727">
        <v>1345618</v>
      </c>
      <c r="G2557" s="3735">
        <v>4886650</v>
      </c>
      <c r="H2557" s="3752">
        <f t="shared" si="176"/>
        <v>3.6315284129671275</v>
      </c>
      <c r="J2557" s="1370"/>
    </row>
    <row r="2558" spans="1:10" s="1622" customFormat="1" ht="17.100000000000001" customHeight="1" thickBot="1">
      <c r="A2558" s="1631"/>
      <c r="B2558" s="1624" t="s">
        <v>1294</v>
      </c>
      <c r="C2558" s="1625"/>
      <c r="D2558" s="1626" t="s">
        <v>666</v>
      </c>
      <c r="E2558" s="1627">
        <f>SUM(E2559,E2564)</f>
        <v>8643006</v>
      </c>
      <c r="F2558" s="1628">
        <f>SUM(F2559,F2564)</f>
        <v>10957006</v>
      </c>
      <c r="G2558" s="1629">
        <f>SUM(G2559,G2564)</f>
        <v>10671569</v>
      </c>
      <c r="H2558" s="1630">
        <f t="shared" si="176"/>
        <v>0.97394936171432234</v>
      </c>
      <c r="J2558" s="1370"/>
    </row>
    <row r="2559" spans="1:10" s="1622" customFormat="1" ht="17.100000000000001" customHeight="1">
      <c r="A2559" s="1631"/>
      <c r="B2559" s="4416"/>
      <c r="C2559" s="4426" t="s">
        <v>688</v>
      </c>
      <c r="D2559" s="4426"/>
      <c r="E2559" s="2506">
        <f>SUM(E2560)</f>
        <v>8097006</v>
      </c>
      <c r="F2559" s="1634">
        <f>SUM(F2560)</f>
        <v>9851006</v>
      </c>
      <c r="G2559" s="2507">
        <f>SUM(G2560)</f>
        <v>10223569</v>
      </c>
      <c r="H2559" s="1636">
        <f t="shared" si="176"/>
        <v>1.0378197922120846</v>
      </c>
      <c r="J2559" s="1370"/>
    </row>
    <row r="2560" spans="1:10" s="1622" customFormat="1" ht="17.100000000000001" customHeight="1">
      <c r="A2560" s="1631"/>
      <c r="B2560" s="4416"/>
      <c r="C2560" s="4443" t="s">
        <v>797</v>
      </c>
      <c r="D2560" s="4443"/>
      <c r="E2560" s="3734">
        <f>SUM(E2561:E2562)</f>
        <v>8097006</v>
      </c>
      <c r="F2560" s="3727">
        <f>SUM(F2561:F2562)</f>
        <v>9851006</v>
      </c>
      <c r="G2560" s="3737">
        <f>SUM(G2561:G2562)</f>
        <v>10223569</v>
      </c>
      <c r="H2560" s="3720">
        <f t="shared" si="176"/>
        <v>1.0378197922120846</v>
      </c>
      <c r="J2560" s="1370"/>
    </row>
    <row r="2561" spans="1:10" s="1622" customFormat="1" ht="17.100000000000001" customHeight="1">
      <c r="A2561" s="1631"/>
      <c r="B2561" s="4416"/>
      <c r="C2561" s="3732" t="s">
        <v>1292</v>
      </c>
      <c r="D2561" s="3733" t="s">
        <v>1293</v>
      </c>
      <c r="E2561" s="3734">
        <v>7947006</v>
      </c>
      <c r="F2561" s="3727">
        <v>8946006</v>
      </c>
      <c r="G2561" s="3735">
        <v>9573569</v>
      </c>
      <c r="H2561" s="3720">
        <f t="shared" si="176"/>
        <v>1.0701500759109708</v>
      </c>
      <c r="J2561" s="1370"/>
    </row>
    <row r="2562" spans="1:10" s="1622" customFormat="1" ht="28.5" customHeight="1">
      <c r="A2562" s="1631"/>
      <c r="B2562" s="1653"/>
      <c r="C2562" s="3753" t="s">
        <v>861</v>
      </c>
      <c r="D2562" s="3733" t="s">
        <v>862</v>
      </c>
      <c r="E2562" s="3734">
        <v>150000</v>
      </c>
      <c r="F2562" s="3727">
        <v>905000</v>
      </c>
      <c r="G2562" s="3735">
        <v>650000</v>
      </c>
      <c r="H2562" s="3720">
        <f t="shared" si="176"/>
        <v>0.71823204419889508</v>
      </c>
      <c r="J2562" s="1370"/>
    </row>
    <row r="2563" spans="1:10" s="1622" customFormat="1" ht="16.5" customHeight="1" thickBot="1">
      <c r="A2563" s="1673"/>
      <c r="B2563" s="1890"/>
      <c r="C2563" s="4447"/>
      <c r="D2563" s="4448"/>
      <c r="E2563" s="3748"/>
      <c r="F2563" s="1676"/>
      <c r="G2563" s="3754"/>
      <c r="H2563" s="1678"/>
      <c r="J2563" s="1370"/>
    </row>
    <row r="2564" spans="1:10" s="1622" customFormat="1" ht="15" customHeight="1">
      <c r="A2564" s="3755"/>
      <c r="B2564" s="3755"/>
      <c r="C2564" s="4449" t="s">
        <v>744</v>
      </c>
      <c r="D2564" s="4450"/>
      <c r="E2564" s="3756">
        <f t="shared" ref="E2564:G2565" si="177">SUM(E2565)</f>
        <v>546000</v>
      </c>
      <c r="F2564" s="3757">
        <f t="shared" si="177"/>
        <v>1106000</v>
      </c>
      <c r="G2564" s="3758">
        <f t="shared" si="177"/>
        <v>448000</v>
      </c>
      <c r="H2564" s="3759">
        <f t="shared" ref="H2564:H2572" si="178">G2564/F2564</f>
        <v>0.4050632911392405</v>
      </c>
      <c r="J2564" s="1370"/>
    </row>
    <row r="2565" spans="1:10" s="1622" customFormat="1" ht="16.5" customHeight="1">
      <c r="A2565" s="1631"/>
      <c r="B2565" s="1653"/>
      <c r="C2565" s="4451" t="s">
        <v>745</v>
      </c>
      <c r="D2565" s="4452"/>
      <c r="E2565" s="3734">
        <f t="shared" si="177"/>
        <v>546000</v>
      </c>
      <c r="F2565" s="3727">
        <f t="shared" si="177"/>
        <v>1106000</v>
      </c>
      <c r="G2565" s="3737">
        <f t="shared" si="177"/>
        <v>448000</v>
      </c>
      <c r="H2565" s="3720">
        <f t="shared" si="178"/>
        <v>0.4050632911392405</v>
      </c>
      <c r="J2565" s="1370"/>
    </row>
    <row r="2566" spans="1:10" s="1622" customFormat="1" ht="42" customHeight="1" thickBot="1">
      <c r="A2566" s="1631"/>
      <c r="B2566" s="1653"/>
      <c r="C2566" s="3750" t="s">
        <v>973</v>
      </c>
      <c r="D2566" s="3751" t="s">
        <v>974</v>
      </c>
      <c r="E2566" s="3734">
        <v>546000</v>
      </c>
      <c r="F2566" s="3727">
        <v>1106000</v>
      </c>
      <c r="G2566" s="3735">
        <v>448000</v>
      </c>
      <c r="H2566" s="3752">
        <f t="shared" si="178"/>
        <v>0.4050632911392405</v>
      </c>
      <c r="J2566" s="1370"/>
    </row>
    <row r="2567" spans="1:10" s="1622" customFormat="1" ht="17.100000000000001" customHeight="1" thickBot="1">
      <c r="A2567" s="1631"/>
      <c r="B2567" s="1624" t="s">
        <v>1295</v>
      </c>
      <c r="C2567" s="1625"/>
      <c r="D2567" s="1626" t="s">
        <v>1296</v>
      </c>
      <c r="E2567" s="1627">
        <f>SUM(E2568,E2574)</f>
        <v>19849760</v>
      </c>
      <c r="F2567" s="1628">
        <f>SUM(F2568,F2574)</f>
        <v>24874936</v>
      </c>
      <c r="G2567" s="1629">
        <f>SUM(G2568,G2574)</f>
        <v>19784367</v>
      </c>
      <c r="H2567" s="1630">
        <f t="shared" si="178"/>
        <v>0.79535348352253044</v>
      </c>
      <c r="J2567" s="1370"/>
    </row>
    <row r="2568" spans="1:10" s="1622" customFormat="1" ht="17.100000000000001" customHeight="1">
      <c r="A2568" s="1631"/>
      <c r="B2568" s="1637"/>
      <c r="C2568" s="4426" t="s">
        <v>688</v>
      </c>
      <c r="D2568" s="4426"/>
      <c r="E2568" s="2506">
        <f>SUM(E2569)</f>
        <v>11670111</v>
      </c>
      <c r="F2568" s="1634">
        <f>SUM(F2569)</f>
        <v>12397834</v>
      </c>
      <c r="G2568" s="2507">
        <f>SUM(G2569)</f>
        <v>15941229</v>
      </c>
      <c r="H2568" s="1636">
        <f t="shared" si="178"/>
        <v>1.2858075854217761</v>
      </c>
      <c r="J2568" s="1370"/>
    </row>
    <row r="2569" spans="1:10" s="1622" customFormat="1" ht="17.100000000000001" customHeight="1">
      <c r="A2569" s="1631"/>
      <c r="B2569" s="1637"/>
      <c r="C2569" s="4443" t="s">
        <v>797</v>
      </c>
      <c r="D2569" s="4443"/>
      <c r="E2569" s="3734">
        <f>SUM(E2570:E2572)</f>
        <v>11670111</v>
      </c>
      <c r="F2569" s="3727">
        <f>SUM(F2570:F2572)</f>
        <v>12397834</v>
      </c>
      <c r="G2569" s="3737">
        <f>SUM(G2570:G2572)</f>
        <v>15941229</v>
      </c>
      <c r="H2569" s="3720">
        <f t="shared" si="178"/>
        <v>1.2858075854217761</v>
      </c>
      <c r="J2569" s="1370"/>
    </row>
    <row r="2570" spans="1:10" s="1622" customFormat="1" ht="17.100000000000001" customHeight="1">
      <c r="A2570" s="1631"/>
      <c r="B2570" s="1637"/>
      <c r="C2570" s="3732" t="s">
        <v>1292</v>
      </c>
      <c r="D2570" s="3733" t="s">
        <v>1293</v>
      </c>
      <c r="E2570" s="3734">
        <v>10738909</v>
      </c>
      <c r="F2570" s="3727">
        <v>10935682</v>
      </c>
      <c r="G2570" s="3735">
        <v>14934024</v>
      </c>
      <c r="H2570" s="3720">
        <f t="shared" si="178"/>
        <v>1.3656234700314074</v>
      </c>
      <c r="J2570" s="1370"/>
    </row>
    <row r="2571" spans="1:10" s="1622" customFormat="1" ht="37.5" customHeight="1">
      <c r="A2571" s="1631"/>
      <c r="B2571" s="1637"/>
      <c r="C2571" s="3732" t="s">
        <v>353</v>
      </c>
      <c r="D2571" s="3733" t="s">
        <v>932</v>
      </c>
      <c r="E2571" s="3734">
        <v>0</v>
      </c>
      <c r="F2571" s="3727">
        <v>169906</v>
      </c>
      <c r="G2571" s="3735">
        <v>0</v>
      </c>
      <c r="H2571" s="3720">
        <f t="shared" si="178"/>
        <v>0</v>
      </c>
      <c r="J2571" s="1370"/>
    </row>
    <row r="2572" spans="1:10" s="1622" customFormat="1" ht="29.25" customHeight="1">
      <c r="A2572" s="1631"/>
      <c r="B2572" s="1637"/>
      <c r="C2572" s="3732" t="s">
        <v>861</v>
      </c>
      <c r="D2572" s="3733" t="s">
        <v>862</v>
      </c>
      <c r="E2572" s="3734">
        <v>931202</v>
      </c>
      <c r="F2572" s="3727">
        <v>1292246</v>
      </c>
      <c r="G2572" s="3735">
        <v>1007205</v>
      </c>
      <c r="H2572" s="3720">
        <f t="shared" si="178"/>
        <v>0.77942202955164885</v>
      </c>
      <c r="J2572" s="1370"/>
    </row>
    <row r="2573" spans="1:10" s="1622" customFormat="1" ht="15">
      <c r="A2573" s="1631"/>
      <c r="B2573" s="1637"/>
      <c r="C2573" s="2485"/>
      <c r="D2573" s="2486"/>
      <c r="E2573" s="2487"/>
      <c r="F2573" s="3727"/>
      <c r="G2573" s="3735"/>
      <c r="H2573" s="3720"/>
      <c r="J2573" s="1370"/>
    </row>
    <row r="2574" spans="1:10" s="1622" customFormat="1" ht="18.75" customHeight="1">
      <c r="A2574" s="1653"/>
      <c r="B2574" s="1637"/>
      <c r="C2574" s="4434" t="s">
        <v>744</v>
      </c>
      <c r="D2574" s="4435"/>
      <c r="E2574" s="2506">
        <f>SUM(E2575)</f>
        <v>8179649</v>
      </c>
      <c r="F2574" s="1634">
        <f>SUM(F2575)</f>
        <v>12477102</v>
      </c>
      <c r="G2574" s="2507">
        <f>SUM(G2575)</f>
        <v>3843138</v>
      </c>
      <c r="H2574" s="1636">
        <f t="shared" ref="H2574:H2581" si="179">G2574/F2574</f>
        <v>0.30801527470080792</v>
      </c>
      <c r="J2574" s="1370"/>
    </row>
    <row r="2575" spans="1:10" s="1622" customFormat="1" ht="15">
      <c r="A2575" s="1631"/>
      <c r="B2575" s="1637"/>
      <c r="C2575" s="4436" t="s">
        <v>745</v>
      </c>
      <c r="D2575" s="4437"/>
      <c r="E2575" s="2459">
        <f>SUM(E2576:E2580)</f>
        <v>8179649</v>
      </c>
      <c r="F2575" s="1859">
        <f>SUM(F2576:F2580)</f>
        <v>12477102</v>
      </c>
      <c r="G2575" s="2537">
        <f>SUM(G2576:G2580)</f>
        <v>3843138</v>
      </c>
      <c r="H2575" s="3720">
        <f t="shared" si="179"/>
        <v>0.30801527470080792</v>
      </c>
      <c r="J2575" s="1370"/>
    </row>
    <row r="2576" spans="1:10" s="1622" customFormat="1" ht="42.75" customHeight="1">
      <c r="A2576" s="1631"/>
      <c r="B2576" s="1637"/>
      <c r="C2576" s="3760" t="s">
        <v>973</v>
      </c>
      <c r="D2576" s="3761" t="s">
        <v>974</v>
      </c>
      <c r="E2576" s="3734">
        <v>2530200</v>
      </c>
      <c r="F2576" s="3727">
        <v>4253982</v>
      </c>
      <c r="G2576" s="3735">
        <v>3315538</v>
      </c>
      <c r="H2576" s="3720">
        <f t="shared" si="179"/>
        <v>0.77939633971182765</v>
      </c>
      <c r="J2576" s="1370"/>
    </row>
    <row r="2577" spans="1:10" s="1622" customFormat="1" ht="40.5" hidden="1" customHeight="1">
      <c r="A2577" s="1631"/>
      <c r="B2577" s="1671"/>
      <c r="C2577" s="2648" t="s">
        <v>880</v>
      </c>
      <c r="D2577" s="3762" t="s">
        <v>881</v>
      </c>
      <c r="E2577" s="3734">
        <v>0</v>
      </c>
      <c r="F2577" s="3727"/>
      <c r="G2577" s="3735"/>
      <c r="H2577" s="3720" t="e">
        <f t="shared" si="179"/>
        <v>#DIV/0!</v>
      </c>
      <c r="J2577" s="1370"/>
    </row>
    <row r="2578" spans="1:10" s="1622" customFormat="1" ht="47.25" customHeight="1">
      <c r="A2578" s="1631"/>
      <c r="B2578" s="1671"/>
      <c r="C2578" s="3763" t="s">
        <v>1297</v>
      </c>
      <c r="D2578" s="3764" t="s">
        <v>974</v>
      </c>
      <c r="E2578" s="3734">
        <v>5475468</v>
      </c>
      <c r="F2578" s="3727">
        <v>8037000</v>
      </c>
      <c r="G2578" s="3735">
        <v>350000</v>
      </c>
      <c r="H2578" s="3720">
        <f t="shared" si="179"/>
        <v>4.3548587781510516E-2</v>
      </c>
      <c r="J2578" s="1370"/>
    </row>
    <row r="2579" spans="1:10" s="1622" customFormat="1" ht="54" customHeight="1">
      <c r="A2579" s="1631"/>
      <c r="B2579" s="1671"/>
      <c r="C2579" s="3763" t="s">
        <v>449</v>
      </c>
      <c r="D2579" s="3765" t="s">
        <v>842</v>
      </c>
      <c r="E2579" s="3734">
        <v>173981</v>
      </c>
      <c r="F2579" s="3727">
        <v>69580</v>
      </c>
      <c r="G2579" s="3735">
        <v>177600</v>
      </c>
      <c r="H2579" s="3720">
        <f t="shared" si="179"/>
        <v>2.5524576027594135</v>
      </c>
      <c r="J2579" s="1370" t="s">
        <v>823</v>
      </c>
    </row>
    <row r="2580" spans="1:10" s="1622" customFormat="1" ht="54" customHeight="1">
      <c r="A2580" s="1631"/>
      <c r="B2580" s="1671"/>
      <c r="C2580" s="1631" t="s">
        <v>880</v>
      </c>
      <c r="D2580" s="2458" t="s">
        <v>881</v>
      </c>
      <c r="E2580" s="3734">
        <v>0</v>
      </c>
      <c r="F2580" s="3727">
        <v>116540</v>
      </c>
      <c r="G2580" s="3735">
        <v>0</v>
      </c>
      <c r="H2580" s="3720">
        <f t="shared" si="179"/>
        <v>0</v>
      </c>
      <c r="J2580" s="1370"/>
    </row>
    <row r="2581" spans="1:10" s="1622" customFormat="1" ht="27" hidden="1" customHeight="1">
      <c r="A2581" s="1631"/>
      <c r="B2581" s="1671"/>
      <c r="C2581" s="3766" t="s">
        <v>1298</v>
      </c>
      <c r="D2581" s="3767" t="s">
        <v>1299</v>
      </c>
      <c r="E2581" s="3734">
        <v>0</v>
      </c>
      <c r="F2581" s="3727"/>
      <c r="G2581" s="3768"/>
      <c r="H2581" s="3720" t="e">
        <f t="shared" si="179"/>
        <v>#DIV/0!</v>
      </c>
      <c r="J2581" s="1370"/>
    </row>
    <row r="2582" spans="1:10" s="1622" customFormat="1" ht="17.25" customHeight="1">
      <c r="A2582" s="1631"/>
      <c r="B2582" s="1671"/>
      <c r="C2582" s="3763"/>
      <c r="D2582" s="3769"/>
      <c r="E2582" s="3734"/>
      <c r="F2582" s="3727"/>
      <c r="G2582" s="3768"/>
      <c r="H2582" s="3720"/>
      <c r="J2582" s="1370"/>
    </row>
    <row r="2583" spans="1:10" s="1622" customFormat="1" ht="25.5" customHeight="1">
      <c r="A2583" s="1631"/>
      <c r="B2583" s="1671"/>
      <c r="C2583" s="4444" t="s">
        <v>758</v>
      </c>
      <c r="D2583" s="4445"/>
      <c r="E2583" s="3770">
        <f>SUM(E2584:E2585)</f>
        <v>6201668</v>
      </c>
      <c r="F2583" s="3722">
        <f>SUM(F2584:F2585)</f>
        <v>9731714</v>
      </c>
      <c r="G2583" s="3771">
        <f>SUM(G2584:G2585)</f>
        <v>450000</v>
      </c>
      <c r="H2583" s="3724">
        <f t="shared" ref="H2583:H2591" si="180">G2583/F2583</f>
        <v>4.6240569749583682E-2</v>
      </c>
      <c r="J2583" s="1370"/>
    </row>
    <row r="2584" spans="1:10" s="1622" customFormat="1" ht="39" customHeight="1">
      <c r="A2584" s="1631"/>
      <c r="B2584" s="1671"/>
      <c r="C2584" s="3772" t="s">
        <v>973</v>
      </c>
      <c r="D2584" s="3773" t="s">
        <v>974</v>
      </c>
      <c r="E2584" s="3774">
        <v>726200</v>
      </c>
      <c r="F2584" s="3727">
        <v>1694714</v>
      </c>
      <c r="G2584" s="3775">
        <v>100000</v>
      </c>
      <c r="H2584" s="3720">
        <f t="shared" si="180"/>
        <v>5.9007006491950856E-2</v>
      </c>
      <c r="J2584" s="1370"/>
    </row>
    <row r="2585" spans="1:10" s="1622" customFormat="1" ht="39" thickBot="1">
      <c r="A2585" s="1653"/>
      <c r="B2585" s="1674"/>
      <c r="C2585" s="3776" t="s">
        <v>1297</v>
      </c>
      <c r="D2585" s="3777" t="s">
        <v>974</v>
      </c>
      <c r="E2585" s="3778">
        <v>5475468</v>
      </c>
      <c r="F2585" s="1676">
        <v>8037000</v>
      </c>
      <c r="G2585" s="3779">
        <v>350000</v>
      </c>
      <c r="H2585" s="1678">
        <f t="shared" si="180"/>
        <v>4.3548587781510516E-2</v>
      </c>
      <c r="J2585" s="1370"/>
    </row>
    <row r="2586" spans="1:10" s="1622" customFormat="1" ht="17.100000000000001" customHeight="1" thickBot="1">
      <c r="A2586" s="1631"/>
      <c r="B2586" s="1624" t="s">
        <v>1300</v>
      </c>
      <c r="C2586" s="1625"/>
      <c r="D2586" s="1626" t="s">
        <v>1301</v>
      </c>
      <c r="E2586" s="1627">
        <f>SUM(E2587,E2593)</f>
        <v>807544</v>
      </c>
      <c r="F2586" s="1628">
        <f>SUM(F2587,F2593)</f>
        <v>837544</v>
      </c>
      <c r="G2586" s="1629">
        <f>SUM(G2587,G2593)</f>
        <v>834514</v>
      </c>
      <c r="H2586" s="1630">
        <f t="shared" si="180"/>
        <v>0.99638227961754844</v>
      </c>
      <c r="J2586" s="1370"/>
    </row>
    <row r="2587" spans="1:10" s="1622" customFormat="1" ht="17.100000000000001" customHeight="1">
      <c r="A2587" s="1631"/>
      <c r="B2587" s="4416"/>
      <c r="C2587" s="4426" t="s">
        <v>688</v>
      </c>
      <c r="D2587" s="4426"/>
      <c r="E2587" s="2506">
        <f>SUM(E2588)</f>
        <v>757544</v>
      </c>
      <c r="F2587" s="1634">
        <f>SUM(F2588)</f>
        <v>787544</v>
      </c>
      <c r="G2587" s="2507">
        <f>SUM(G2588)</f>
        <v>754514</v>
      </c>
      <c r="H2587" s="1636">
        <f t="shared" si="180"/>
        <v>0.95805948620013615</v>
      </c>
      <c r="J2587" s="1370"/>
    </row>
    <row r="2588" spans="1:10" s="1622" customFormat="1" ht="17.100000000000001" customHeight="1">
      <c r="A2588" s="1631"/>
      <c r="B2588" s="4416"/>
      <c r="C2588" s="4446" t="s">
        <v>797</v>
      </c>
      <c r="D2588" s="4446"/>
      <c r="E2588" s="3734">
        <f>SUM(E2590:E2591)</f>
        <v>757544</v>
      </c>
      <c r="F2588" s="3727">
        <f>SUM(F2590:F2591)</f>
        <v>787544</v>
      </c>
      <c r="G2588" s="3737">
        <f>SUM(G2590:G2591)</f>
        <v>754514</v>
      </c>
      <c r="H2588" s="3720">
        <f t="shared" si="180"/>
        <v>0.95805948620013615</v>
      </c>
      <c r="J2588" s="1370"/>
    </row>
    <row r="2589" spans="1:10" s="1622" customFormat="1" ht="27" hidden="1" customHeight="1">
      <c r="A2589" s="1631"/>
      <c r="B2589" s="4416"/>
      <c r="C2589" s="3780" t="s">
        <v>353</v>
      </c>
      <c r="D2589" s="3781" t="s">
        <v>932</v>
      </c>
      <c r="E2589" s="3734">
        <v>0</v>
      </c>
      <c r="F2589" s="3727"/>
      <c r="G2589" s="3735"/>
      <c r="H2589" s="3720" t="e">
        <f t="shared" si="180"/>
        <v>#DIV/0!</v>
      </c>
      <c r="J2589" s="1370"/>
    </row>
    <row r="2590" spans="1:10" s="1622" customFormat="1" ht="17.100000000000001" customHeight="1">
      <c r="A2590" s="1631"/>
      <c r="B2590" s="4416"/>
      <c r="C2590" s="3732" t="s">
        <v>1292</v>
      </c>
      <c r="D2590" s="3733" t="s">
        <v>1293</v>
      </c>
      <c r="E2590" s="3734">
        <v>732312</v>
      </c>
      <c r="F2590" s="3727">
        <v>762312</v>
      </c>
      <c r="G2590" s="3735">
        <v>754514</v>
      </c>
      <c r="H2590" s="3720">
        <f t="shared" si="180"/>
        <v>0.98977059261824551</v>
      </c>
      <c r="J2590" s="1370"/>
    </row>
    <row r="2591" spans="1:10" s="1622" customFormat="1" ht="27" customHeight="1">
      <c r="A2591" s="1631"/>
      <c r="B2591" s="4416"/>
      <c r="C2591" s="3738" t="s">
        <v>861</v>
      </c>
      <c r="D2591" s="3782" t="s">
        <v>862</v>
      </c>
      <c r="E2591" s="3734">
        <v>25232</v>
      </c>
      <c r="F2591" s="3727">
        <v>25232</v>
      </c>
      <c r="G2591" s="3735">
        <v>0</v>
      </c>
      <c r="H2591" s="3720">
        <f t="shared" si="180"/>
        <v>0</v>
      </c>
      <c r="J2591" s="1370"/>
    </row>
    <row r="2592" spans="1:10" s="1622" customFormat="1" ht="14.25" customHeight="1">
      <c r="A2592" s="1631"/>
      <c r="B2592" s="2522"/>
      <c r="C2592" s="4432"/>
      <c r="D2592" s="4433"/>
      <c r="E2592" s="3734"/>
      <c r="F2592" s="3727"/>
      <c r="G2592" s="3735"/>
      <c r="H2592" s="3720"/>
      <c r="J2592" s="1370"/>
    </row>
    <row r="2593" spans="1:10" s="1622" customFormat="1" ht="16.5" customHeight="1">
      <c r="A2593" s="1631"/>
      <c r="B2593" s="1671"/>
      <c r="C2593" s="4434" t="s">
        <v>744</v>
      </c>
      <c r="D2593" s="4435"/>
      <c r="E2593" s="2506">
        <f t="shared" ref="E2593:G2594" si="181">SUM(E2594)</f>
        <v>50000</v>
      </c>
      <c r="F2593" s="1634">
        <f t="shared" si="181"/>
        <v>50000</v>
      </c>
      <c r="G2593" s="2507">
        <f t="shared" si="181"/>
        <v>80000</v>
      </c>
      <c r="H2593" s="3743">
        <f t="shared" ref="H2593:H2600" si="182">G2593/F2593</f>
        <v>1.6</v>
      </c>
      <c r="J2593" s="1370"/>
    </row>
    <row r="2594" spans="1:10" s="1622" customFormat="1" ht="16.5" customHeight="1">
      <c r="A2594" s="1631"/>
      <c r="B2594" s="1671"/>
      <c r="C2594" s="4436" t="s">
        <v>745</v>
      </c>
      <c r="D2594" s="4437"/>
      <c r="E2594" s="3734">
        <f t="shared" si="181"/>
        <v>50000</v>
      </c>
      <c r="F2594" s="3727">
        <f t="shared" si="181"/>
        <v>50000</v>
      </c>
      <c r="G2594" s="3737">
        <f t="shared" si="181"/>
        <v>80000</v>
      </c>
      <c r="H2594" s="3720">
        <f t="shared" si="182"/>
        <v>1.6</v>
      </c>
      <c r="J2594" s="1370"/>
    </row>
    <row r="2595" spans="1:10" s="1622" customFormat="1" ht="42.75" customHeight="1" thickBot="1">
      <c r="A2595" s="1631"/>
      <c r="B2595" s="1674"/>
      <c r="C2595" s="3783" t="s">
        <v>973</v>
      </c>
      <c r="D2595" s="3784" t="s">
        <v>974</v>
      </c>
      <c r="E2595" s="3748">
        <v>50000</v>
      </c>
      <c r="F2595" s="1676">
        <v>50000</v>
      </c>
      <c r="G2595" s="3754">
        <v>80000</v>
      </c>
      <c r="H2595" s="1678">
        <f t="shared" si="182"/>
        <v>1.6</v>
      </c>
      <c r="J2595" s="1370"/>
    </row>
    <row r="2596" spans="1:10" s="1622" customFormat="1" ht="17.100000000000001" customHeight="1" thickBot="1">
      <c r="A2596" s="1653"/>
      <c r="B2596" s="2513" t="s">
        <v>1302</v>
      </c>
      <c r="C2596" s="2514"/>
      <c r="D2596" s="2515" t="s">
        <v>1303</v>
      </c>
      <c r="E2596" s="2516">
        <f>SUM(E2597,E2602)</f>
        <v>3111346</v>
      </c>
      <c r="F2596" s="2517">
        <f>SUM(F2597,F2602)</f>
        <v>4569190</v>
      </c>
      <c r="G2596" s="2518">
        <f>SUM(G2597,G2602)</f>
        <v>4952171</v>
      </c>
      <c r="H2596" s="2519">
        <f t="shared" si="182"/>
        <v>1.0838181384446697</v>
      </c>
      <c r="J2596" s="1370"/>
    </row>
    <row r="2597" spans="1:10" s="1622" customFormat="1" ht="17.100000000000001" customHeight="1">
      <c r="A2597" s="1631"/>
      <c r="B2597" s="4438"/>
      <c r="C2597" s="4440" t="s">
        <v>688</v>
      </c>
      <c r="D2597" s="4440"/>
      <c r="E2597" s="2506">
        <f>SUM(E2598)</f>
        <v>2036346</v>
      </c>
      <c r="F2597" s="1634">
        <f>SUM(F2598)</f>
        <v>2509190</v>
      </c>
      <c r="G2597" s="2507">
        <f>SUM(G2598)</f>
        <v>2595371</v>
      </c>
      <c r="H2597" s="1636">
        <f t="shared" si="182"/>
        <v>1.0343461435762138</v>
      </c>
      <c r="J2597" s="1370"/>
    </row>
    <row r="2598" spans="1:10" s="1622" customFormat="1" ht="17.100000000000001" customHeight="1">
      <c r="A2598" s="1631"/>
      <c r="B2598" s="4416"/>
      <c r="C2598" s="4441" t="s">
        <v>797</v>
      </c>
      <c r="D2598" s="4441"/>
      <c r="E2598" s="3730">
        <f>SUM(E2599:E2600)</f>
        <v>2036346</v>
      </c>
      <c r="F2598" s="3785">
        <f>SUM(F2599:F2600)</f>
        <v>2509190</v>
      </c>
      <c r="G2598" s="3786">
        <f>SUM(G2599:G2600)</f>
        <v>2595371</v>
      </c>
      <c r="H2598" s="3787">
        <f t="shared" si="182"/>
        <v>1.0343461435762138</v>
      </c>
      <c r="J2598" s="1370"/>
    </row>
    <row r="2599" spans="1:10" s="1622" customFormat="1" ht="17.100000000000001" customHeight="1">
      <c r="A2599" s="1631"/>
      <c r="B2599" s="4416"/>
      <c r="C2599" s="3788" t="s">
        <v>1292</v>
      </c>
      <c r="D2599" s="3789" t="s">
        <v>1293</v>
      </c>
      <c r="E2599" s="3730">
        <v>2001346</v>
      </c>
      <c r="F2599" s="3785">
        <v>2433346</v>
      </c>
      <c r="G2599" s="3768">
        <v>2540371</v>
      </c>
      <c r="H2599" s="3787">
        <f t="shared" si="182"/>
        <v>1.0439826477615597</v>
      </c>
      <c r="J2599" s="1370"/>
    </row>
    <row r="2600" spans="1:10" s="1622" customFormat="1" ht="29.25" customHeight="1">
      <c r="A2600" s="1631"/>
      <c r="B2600" s="4416"/>
      <c r="C2600" s="3790" t="s">
        <v>861</v>
      </c>
      <c r="D2600" s="3791" t="s">
        <v>862</v>
      </c>
      <c r="E2600" s="3730">
        <v>35000</v>
      </c>
      <c r="F2600" s="3785">
        <v>75844</v>
      </c>
      <c r="G2600" s="3768">
        <v>55000</v>
      </c>
      <c r="H2600" s="3787">
        <f t="shared" si="182"/>
        <v>0.7251727229576499</v>
      </c>
      <c r="J2600" s="1370"/>
    </row>
    <row r="2601" spans="1:10" s="1622" customFormat="1">
      <c r="A2601" s="1631"/>
      <c r="B2601" s="4416"/>
      <c r="C2601" s="3792"/>
      <c r="D2601" s="3793"/>
      <c r="E2601" s="3792"/>
      <c r="F2601" s="3785"/>
      <c r="G2601" s="3768"/>
      <c r="H2601" s="3787"/>
      <c r="J2601" s="1370"/>
    </row>
    <row r="2602" spans="1:10" s="1622" customFormat="1" ht="16.5" customHeight="1">
      <c r="A2602" s="1631"/>
      <c r="B2602" s="4416"/>
      <c r="C2602" s="4442" t="s">
        <v>744</v>
      </c>
      <c r="D2602" s="4442"/>
      <c r="E2602" s="2506">
        <f t="shared" ref="E2602:G2603" si="183">SUM(E2603)</f>
        <v>1075000</v>
      </c>
      <c r="F2602" s="1634">
        <f t="shared" si="183"/>
        <v>2060000</v>
      </c>
      <c r="G2602" s="2507">
        <f t="shared" si="183"/>
        <v>2356800</v>
      </c>
      <c r="H2602" s="3794">
        <f t="shared" ref="H2602:H2615" si="184">G2602/F2602</f>
        <v>1.1440776699029127</v>
      </c>
      <c r="J2602" s="1370"/>
    </row>
    <row r="2603" spans="1:10" s="1622" customFormat="1" ht="15.75" customHeight="1">
      <c r="A2603" s="1631"/>
      <c r="B2603" s="4416"/>
      <c r="C2603" s="4430" t="s">
        <v>745</v>
      </c>
      <c r="D2603" s="4436"/>
      <c r="E2603" s="3730">
        <f t="shared" si="183"/>
        <v>1075000</v>
      </c>
      <c r="F2603" s="3785">
        <f t="shared" si="183"/>
        <v>2060000</v>
      </c>
      <c r="G2603" s="3731">
        <f t="shared" si="183"/>
        <v>2356800</v>
      </c>
      <c r="H2603" s="3787">
        <f t="shared" si="184"/>
        <v>1.1440776699029127</v>
      </c>
      <c r="J2603" s="1370"/>
    </row>
    <row r="2604" spans="1:10" s="1622" customFormat="1" ht="44.25" customHeight="1" thickBot="1">
      <c r="A2604" s="1631"/>
      <c r="B2604" s="4439"/>
      <c r="C2604" s="3795" t="s">
        <v>973</v>
      </c>
      <c r="D2604" s="3796" t="s">
        <v>974</v>
      </c>
      <c r="E2604" s="3748">
        <v>1075000</v>
      </c>
      <c r="F2604" s="1676">
        <v>2060000</v>
      </c>
      <c r="G2604" s="3754">
        <v>2356800</v>
      </c>
      <c r="H2604" s="3797">
        <f t="shared" si="184"/>
        <v>1.1440776699029127</v>
      </c>
      <c r="J2604" s="1370"/>
    </row>
    <row r="2605" spans="1:10" s="1622" customFormat="1" ht="17.100000000000001" customHeight="1" thickBot="1">
      <c r="A2605" s="1653"/>
      <c r="B2605" s="2513" t="s">
        <v>1304</v>
      </c>
      <c r="C2605" s="2514"/>
      <c r="D2605" s="2515" t="s">
        <v>1305</v>
      </c>
      <c r="E2605" s="1627">
        <f>SUM(E2606,E2617)</f>
        <v>10132618</v>
      </c>
      <c r="F2605" s="1628">
        <f>SUM(F2606,F2617)</f>
        <v>10995763</v>
      </c>
      <c r="G2605" s="1629">
        <f>SUM(G2606,G2617)</f>
        <v>10968570</v>
      </c>
      <c r="H2605" s="1630">
        <f t="shared" si="184"/>
        <v>0.99752695651952483</v>
      </c>
      <c r="J2605" s="1370"/>
    </row>
    <row r="2606" spans="1:10" s="1622" customFormat="1" ht="17.100000000000001" customHeight="1">
      <c r="A2606" s="1631"/>
      <c r="B2606" s="1637"/>
      <c r="C2606" s="4426" t="s">
        <v>688</v>
      </c>
      <c r="D2606" s="4426"/>
      <c r="E2606" s="2506">
        <f>SUM(E2611)</f>
        <v>9897618</v>
      </c>
      <c r="F2606" s="1634">
        <f>SUM(F2607,F2611)</f>
        <v>10654763</v>
      </c>
      <c r="G2606" s="1634">
        <f>SUM(G2607,G2611)</f>
        <v>10896470</v>
      </c>
      <c r="H2606" s="1636">
        <f t="shared" si="184"/>
        <v>1.0226853473887687</v>
      </c>
      <c r="J2606" s="1370"/>
    </row>
    <row r="2607" spans="1:10" s="1370" customFormat="1" ht="17.100000000000001" customHeight="1">
      <c r="A2607" s="1408"/>
      <c r="B2607" s="1637"/>
      <c r="C2607" s="4427" t="s">
        <v>704</v>
      </c>
      <c r="D2607" s="4427"/>
      <c r="E2607" s="3798">
        <f>SUM(E2609:E2612)</f>
        <v>19685236</v>
      </c>
      <c r="F2607" s="1578">
        <f>SUM(F2609)</f>
        <v>11</v>
      </c>
      <c r="G2607" s="1578">
        <f>SUM(G2609)</f>
        <v>0</v>
      </c>
      <c r="H2607" s="1580">
        <f t="shared" si="184"/>
        <v>0</v>
      </c>
    </row>
    <row r="2608" spans="1:10" s="1370" customFormat="1" ht="17.100000000000001" hidden="1" customHeight="1">
      <c r="A2608" s="1408"/>
      <c r="B2608" s="1637"/>
      <c r="C2608" s="3799" t="s">
        <v>705</v>
      </c>
      <c r="D2608" s="3800" t="s">
        <v>706</v>
      </c>
      <c r="E2608" s="3801">
        <v>0</v>
      </c>
      <c r="F2608" s="3802"/>
      <c r="G2608" s="3644"/>
      <c r="H2608" s="3803" t="e">
        <f t="shared" si="184"/>
        <v>#DIV/0!</v>
      </c>
    </row>
    <row r="2609" spans="1:10" s="1370" customFormat="1" ht="54.75" customHeight="1">
      <c r="A2609" s="1408"/>
      <c r="B2609" s="1637"/>
      <c r="C2609" s="3804" t="s">
        <v>811</v>
      </c>
      <c r="D2609" s="3805" t="s">
        <v>812</v>
      </c>
      <c r="E2609" s="3801">
        <v>0</v>
      </c>
      <c r="F2609" s="3802">
        <v>11</v>
      </c>
      <c r="G2609" s="3644">
        <v>0</v>
      </c>
      <c r="H2609" s="3803">
        <f t="shared" si="184"/>
        <v>0</v>
      </c>
    </row>
    <row r="2610" spans="1:10" s="1370" customFormat="1" ht="15.75" customHeight="1" thickBot="1">
      <c r="A2610" s="1516"/>
      <c r="B2610" s="3190"/>
      <c r="C2610" s="3806"/>
      <c r="D2610" s="3807"/>
      <c r="E2610" s="3808"/>
      <c r="F2610" s="3809"/>
      <c r="G2610" s="3810"/>
      <c r="H2610" s="3811"/>
    </row>
    <row r="2611" spans="1:10" s="1622" customFormat="1" ht="17.100000000000001" customHeight="1">
      <c r="A2611" s="1623"/>
      <c r="B2611" s="3812"/>
      <c r="C2611" s="4404" t="s">
        <v>797</v>
      </c>
      <c r="D2611" s="4404"/>
      <c r="E2611" s="3813">
        <f>SUM(E2612:E2614)</f>
        <v>9897618</v>
      </c>
      <c r="F2611" s="3814">
        <f>SUM(F2612:F2615)</f>
        <v>10654752</v>
      </c>
      <c r="G2611" s="3814">
        <f>SUM(G2612:G2615)</f>
        <v>10896470</v>
      </c>
      <c r="H2611" s="3815">
        <f t="shared" si="184"/>
        <v>1.0226864032123881</v>
      </c>
      <c r="J2611" s="1370"/>
    </row>
    <row r="2612" spans="1:10" s="1622" customFormat="1" ht="17.100000000000001" customHeight="1">
      <c r="A2612" s="1631"/>
      <c r="B2612" s="1637"/>
      <c r="C2612" s="3816" t="s">
        <v>1292</v>
      </c>
      <c r="D2612" s="3817" t="s">
        <v>1293</v>
      </c>
      <c r="E2612" s="3818">
        <v>9787618</v>
      </c>
      <c r="F2612" s="3785">
        <v>10351113</v>
      </c>
      <c r="G2612" s="3768">
        <v>10781470</v>
      </c>
      <c r="H2612" s="3787">
        <f t="shared" si="184"/>
        <v>1.0415759155561339</v>
      </c>
      <c r="J2612" s="1370"/>
    </row>
    <row r="2613" spans="1:10" s="1622" customFormat="1" ht="44.25" customHeight="1">
      <c r="A2613" s="1653"/>
      <c r="B2613" s="1637"/>
      <c r="C2613" s="3725" t="s">
        <v>353</v>
      </c>
      <c r="D2613" s="3726" t="s">
        <v>932</v>
      </c>
      <c r="E2613" s="3818">
        <v>0</v>
      </c>
      <c r="F2613" s="3785">
        <v>9792</v>
      </c>
      <c r="G2613" s="3768">
        <v>0</v>
      </c>
      <c r="H2613" s="3787">
        <f t="shared" si="184"/>
        <v>0</v>
      </c>
      <c r="J2613" s="1370"/>
    </row>
    <row r="2614" spans="1:10" s="1622" customFormat="1" ht="30" customHeight="1">
      <c r="A2614" s="1631"/>
      <c r="B2614" s="1637"/>
      <c r="C2614" s="2426" t="s">
        <v>861</v>
      </c>
      <c r="D2614" s="3819" t="s">
        <v>862</v>
      </c>
      <c r="E2614" s="3321">
        <v>110000</v>
      </c>
      <c r="F2614" s="1859">
        <v>293800</v>
      </c>
      <c r="G2614" s="1860">
        <v>115000</v>
      </c>
      <c r="H2614" s="1659">
        <f t="shared" si="184"/>
        <v>0.39142273655547993</v>
      </c>
      <c r="J2614" s="1370"/>
    </row>
    <row r="2615" spans="1:10" s="1622" customFormat="1" ht="58.5" customHeight="1">
      <c r="A2615" s="1631"/>
      <c r="B2615" s="1671"/>
      <c r="C2615" s="3820" t="s">
        <v>309</v>
      </c>
      <c r="D2615" s="2649" t="s">
        <v>1306</v>
      </c>
      <c r="E2615" s="3821"/>
      <c r="F2615" s="3785">
        <v>47</v>
      </c>
      <c r="G2615" s="3768">
        <v>0</v>
      </c>
      <c r="H2615" s="3787">
        <f t="shared" si="184"/>
        <v>0</v>
      </c>
      <c r="J2615" s="1370"/>
    </row>
    <row r="2616" spans="1:10" s="1622" customFormat="1" ht="16.5" customHeight="1">
      <c r="A2616" s="1631"/>
      <c r="B2616" s="1671"/>
      <c r="C2616" s="4428"/>
      <c r="D2616" s="4429"/>
      <c r="E2616" s="3821"/>
      <c r="F2616" s="3785"/>
      <c r="G2616" s="3768"/>
      <c r="H2616" s="3787"/>
      <c r="J2616" s="1370"/>
    </row>
    <row r="2617" spans="1:10" s="1622" customFormat="1" ht="16.5" customHeight="1">
      <c r="A2617" s="1631"/>
      <c r="B2617" s="1671"/>
      <c r="C2617" s="4414" t="s">
        <v>744</v>
      </c>
      <c r="D2617" s="4414"/>
      <c r="E2617" s="3822">
        <f t="shared" ref="E2617:G2618" si="185">SUM(E2618)</f>
        <v>235000</v>
      </c>
      <c r="F2617" s="1634">
        <f t="shared" si="185"/>
        <v>341000</v>
      </c>
      <c r="G2617" s="3823">
        <f t="shared" si="185"/>
        <v>72100</v>
      </c>
      <c r="H2617" s="3794">
        <f t="shared" ref="H2617:H2626" si="186">G2617/F2617</f>
        <v>0.21143695014662756</v>
      </c>
      <c r="J2617" s="1370"/>
    </row>
    <row r="2618" spans="1:10" s="1622" customFormat="1" ht="16.5" customHeight="1">
      <c r="A2618" s="1631"/>
      <c r="B2618" s="1671"/>
      <c r="C2618" s="4430" t="s">
        <v>745</v>
      </c>
      <c r="D2618" s="4431"/>
      <c r="E2618" s="3821">
        <f t="shared" si="185"/>
        <v>235000</v>
      </c>
      <c r="F2618" s="3785">
        <f t="shared" si="185"/>
        <v>341000</v>
      </c>
      <c r="G2618" s="3786">
        <f t="shared" si="185"/>
        <v>72100</v>
      </c>
      <c r="H2618" s="3787">
        <f t="shared" si="186"/>
        <v>0.21143695014662756</v>
      </c>
      <c r="J2618" s="1370"/>
    </row>
    <row r="2619" spans="1:10" s="1622" customFormat="1" ht="42" customHeight="1" thickBot="1">
      <c r="A2619" s="1653"/>
      <c r="B2619" s="1674"/>
      <c r="C2619" s="3795" t="s">
        <v>973</v>
      </c>
      <c r="D2619" s="3796" t="s">
        <v>974</v>
      </c>
      <c r="E2619" s="3748">
        <v>235000</v>
      </c>
      <c r="F2619" s="1676">
        <v>341000</v>
      </c>
      <c r="G2619" s="3754">
        <v>72100</v>
      </c>
      <c r="H2619" s="1678">
        <f t="shared" si="186"/>
        <v>0.21143695014662756</v>
      </c>
      <c r="J2619" s="1370"/>
    </row>
    <row r="2620" spans="1:10" ht="42.75" hidden="1" customHeight="1">
      <c r="A2620" s="1556"/>
      <c r="B2620" s="1564"/>
      <c r="C2620" s="1826" t="s">
        <v>880</v>
      </c>
      <c r="D2620" s="1827" t="s">
        <v>881</v>
      </c>
      <c r="E2620" s="1828">
        <v>0</v>
      </c>
      <c r="F2620" s="1829"/>
      <c r="H2620" s="1831" t="e">
        <f t="shared" si="186"/>
        <v>#DIV/0!</v>
      </c>
    </row>
    <row r="2621" spans="1:10" s="1622" customFormat="1" ht="19.5" customHeight="1" thickBot="1">
      <c r="A2621" s="1653"/>
      <c r="B2621" s="1624" t="s">
        <v>1307</v>
      </c>
      <c r="C2621" s="1625"/>
      <c r="D2621" s="1626" t="s">
        <v>1308</v>
      </c>
      <c r="E2621" s="1627">
        <f>SUM(E2622,E2628)</f>
        <v>36193012</v>
      </c>
      <c r="F2621" s="1628">
        <f>SUM(F2622,F2628)</f>
        <v>39573971</v>
      </c>
      <c r="G2621" s="1629">
        <f>SUM(G2622,G2628)</f>
        <v>42144501</v>
      </c>
      <c r="H2621" s="1630">
        <f t="shared" si="186"/>
        <v>1.0649550685727243</v>
      </c>
      <c r="J2621" s="1370"/>
    </row>
    <row r="2622" spans="1:10" s="1622" customFormat="1" ht="17.100000000000001" customHeight="1">
      <c r="A2622" s="1631"/>
      <c r="B2622" s="4416"/>
      <c r="C2622" s="4417" t="s">
        <v>688</v>
      </c>
      <c r="D2622" s="4417"/>
      <c r="E2622" s="3822">
        <f>SUM(E2623)</f>
        <v>30678967</v>
      </c>
      <c r="F2622" s="1634">
        <f>SUM(F2623)</f>
        <v>33205309</v>
      </c>
      <c r="G2622" s="3823">
        <f>SUM(G2623)</f>
        <v>36815746</v>
      </c>
      <c r="H2622" s="1636">
        <f t="shared" si="186"/>
        <v>1.1087307153202519</v>
      </c>
      <c r="J2622" s="1370"/>
    </row>
    <row r="2623" spans="1:10" s="1622" customFormat="1" ht="17.100000000000001" customHeight="1">
      <c r="A2623" s="1631"/>
      <c r="B2623" s="4416"/>
      <c r="C2623" s="4406" t="s">
        <v>797</v>
      </c>
      <c r="D2623" s="4406"/>
      <c r="E2623" s="3821">
        <f>SUM(E2624:E2626)</f>
        <v>30678967</v>
      </c>
      <c r="F2623" s="3785">
        <f>SUM(F2624:F2626)</f>
        <v>33205309</v>
      </c>
      <c r="G2623" s="3786">
        <f>SUM(G2624:G2626)</f>
        <v>36815746</v>
      </c>
      <c r="H2623" s="3787">
        <f t="shared" si="186"/>
        <v>1.1087307153202519</v>
      </c>
      <c r="J2623" s="1370"/>
    </row>
    <row r="2624" spans="1:10" s="1622" customFormat="1" ht="17.100000000000001" customHeight="1">
      <c r="A2624" s="1631"/>
      <c r="B2624" s="4416"/>
      <c r="C2624" s="3824" t="s">
        <v>1292</v>
      </c>
      <c r="D2624" s="3825" t="s">
        <v>1293</v>
      </c>
      <c r="E2624" s="3826">
        <v>30150806</v>
      </c>
      <c r="F2624" s="3785">
        <v>31875036</v>
      </c>
      <c r="G2624" s="3827">
        <v>36166336</v>
      </c>
      <c r="H2624" s="3787">
        <f t="shared" si="186"/>
        <v>1.1346288675564162</v>
      </c>
      <c r="J2624" s="1370"/>
    </row>
    <row r="2625" spans="1:10" s="1622" customFormat="1" ht="43.5" customHeight="1">
      <c r="A2625" s="1631"/>
      <c r="B2625" s="1671"/>
      <c r="C2625" s="3824" t="s">
        <v>353</v>
      </c>
      <c r="D2625" s="3825" t="s">
        <v>932</v>
      </c>
      <c r="E2625" s="3826">
        <v>0</v>
      </c>
      <c r="F2625" s="3785">
        <v>100000</v>
      </c>
      <c r="G2625" s="3827">
        <v>0</v>
      </c>
      <c r="H2625" s="3787">
        <f t="shared" si="186"/>
        <v>0</v>
      </c>
      <c r="J2625" s="1370"/>
    </row>
    <row r="2626" spans="1:10" s="1622" customFormat="1" ht="29.25" customHeight="1">
      <c r="A2626" s="1653"/>
      <c r="B2626" s="1653"/>
      <c r="C2626" s="3828" t="s">
        <v>861</v>
      </c>
      <c r="D2626" s="3829" t="s">
        <v>862</v>
      </c>
      <c r="E2626" s="3826">
        <v>528161</v>
      </c>
      <c r="F2626" s="3785">
        <v>1230273</v>
      </c>
      <c r="G2626" s="3827">
        <v>649410</v>
      </c>
      <c r="H2626" s="3787">
        <f t="shared" si="186"/>
        <v>0.52785845092918404</v>
      </c>
      <c r="J2626" s="1370"/>
    </row>
    <row r="2627" spans="1:10" s="1622" customFormat="1" ht="12" customHeight="1">
      <c r="A2627" s="1631"/>
      <c r="B2627" s="1653"/>
      <c r="C2627" s="1865"/>
      <c r="D2627" s="1865"/>
      <c r="E2627" s="1866"/>
      <c r="F2627" s="1859"/>
      <c r="G2627" s="3830"/>
      <c r="H2627" s="1659"/>
      <c r="J2627" s="1370"/>
    </row>
    <row r="2628" spans="1:10" s="1622" customFormat="1" ht="17.100000000000001" customHeight="1">
      <c r="A2628" s="1631"/>
      <c r="B2628" s="1653"/>
      <c r="C2628" s="4407" t="s">
        <v>744</v>
      </c>
      <c r="D2628" s="4407"/>
      <c r="E2628" s="3831">
        <f>SUM(E2629)</f>
        <v>5514045</v>
      </c>
      <c r="F2628" s="3832">
        <f>SUM(F2629)</f>
        <v>6368662</v>
      </c>
      <c r="G2628" s="3833">
        <f>SUM(G2629)</f>
        <v>5328755</v>
      </c>
      <c r="H2628" s="3794">
        <f>G2628/F2628</f>
        <v>0.83671499602271249</v>
      </c>
      <c r="J2628" s="1370"/>
    </row>
    <row r="2629" spans="1:10" s="1622" customFormat="1" ht="17.100000000000001" customHeight="1">
      <c r="A2629" s="1631"/>
      <c r="B2629" s="1653"/>
      <c r="C2629" s="4422" t="s">
        <v>745</v>
      </c>
      <c r="D2629" s="4423"/>
      <c r="E2629" s="3826">
        <f>SUM(E2630:E2631)</f>
        <v>5514045</v>
      </c>
      <c r="F2629" s="3785">
        <f>SUM(F2630:F2631)</f>
        <v>6368662</v>
      </c>
      <c r="G2629" s="3834">
        <f>SUM(G2630:G2631)</f>
        <v>5328755</v>
      </c>
      <c r="H2629" s="3787">
        <f>G2629/F2629</f>
        <v>0.83671499602271249</v>
      </c>
      <c r="J2629" s="1370"/>
    </row>
    <row r="2630" spans="1:10" s="1622" customFormat="1" ht="72.75" customHeight="1">
      <c r="A2630" s="1631"/>
      <c r="B2630" s="1653"/>
      <c r="C2630" s="3835" t="s">
        <v>841</v>
      </c>
      <c r="D2630" s="3836" t="s">
        <v>1285</v>
      </c>
      <c r="E2630" s="3826">
        <v>0</v>
      </c>
      <c r="F2630" s="3785">
        <v>73517</v>
      </c>
      <c r="G2630" s="3827">
        <v>0</v>
      </c>
      <c r="H2630" s="3787">
        <f>G2630/F2630</f>
        <v>0</v>
      </c>
      <c r="J2630" s="1370"/>
    </row>
    <row r="2631" spans="1:10" s="1622" customFormat="1" ht="43.5" customHeight="1" thickBot="1">
      <c r="A2631" s="1631"/>
      <c r="B2631" s="1653"/>
      <c r="C2631" s="3837" t="s">
        <v>973</v>
      </c>
      <c r="D2631" s="3838" t="s">
        <v>974</v>
      </c>
      <c r="E2631" s="3826">
        <v>5514045</v>
      </c>
      <c r="F2631" s="3785">
        <v>6295145</v>
      </c>
      <c r="G2631" s="3827">
        <v>5328755</v>
      </c>
      <c r="H2631" s="3787">
        <f>G2631/F2631</f>
        <v>0.8464864590092841</v>
      </c>
      <c r="J2631" s="1370"/>
    </row>
    <row r="2632" spans="1:10" s="1622" customFormat="1" ht="51.75" hidden="1" thickBot="1">
      <c r="A2632" s="1631"/>
      <c r="B2632" s="1653"/>
      <c r="C2632" s="1664" t="s">
        <v>449</v>
      </c>
      <c r="D2632" s="2447" t="s">
        <v>842</v>
      </c>
      <c r="E2632" s="3826">
        <v>0</v>
      </c>
      <c r="F2632" s="3785"/>
      <c r="G2632" s="3827"/>
      <c r="H2632" s="3787" t="e">
        <f>G2632/F2632</f>
        <v>#DIV/0!</v>
      </c>
      <c r="J2632" s="1370"/>
    </row>
    <row r="2633" spans="1:10" s="1622" customFormat="1" ht="13.5" hidden="1" thickBot="1">
      <c r="A2633" s="1631"/>
      <c r="B2633" s="1671"/>
      <c r="C2633" s="3839"/>
      <c r="D2633" s="3840"/>
      <c r="E2633" s="3826"/>
      <c r="F2633" s="3785"/>
      <c r="G2633" s="3827"/>
      <c r="H2633" s="3787"/>
      <c r="J2633" s="1370"/>
    </row>
    <row r="2634" spans="1:10" s="1622" customFormat="1" ht="13.5" hidden="1" thickBot="1">
      <c r="A2634" s="1631"/>
      <c r="B2634" s="1671"/>
      <c r="C2634" s="4424" t="s">
        <v>758</v>
      </c>
      <c r="D2634" s="4425"/>
      <c r="E2634" s="3841">
        <f>SUM(E2635)</f>
        <v>0</v>
      </c>
      <c r="F2634" s="3842">
        <f>SUM(F2635)</f>
        <v>0</v>
      </c>
      <c r="G2634" s="3843">
        <f>SUM(G2635)</f>
        <v>0</v>
      </c>
      <c r="H2634" s="3844" t="e">
        <f t="shared" ref="H2634:H2648" si="187">G2634/F2634</f>
        <v>#DIV/0!</v>
      </c>
      <c r="J2634" s="1370"/>
    </row>
    <row r="2635" spans="1:10" s="1622" customFormat="1" ht="64.5" hidden="1" thickBot="1">
      <c r="A2635" s="1631"/>
      <c r="B2635" s="1671"/>
      <c r="C2635" s="3820" t="s">
        <v>841</v>
      </c>
      <c r="D2635" s="3845" t="s">
        <v>1285</v>
      </c>
      <c r="E2635" s="3846">
        <v>0</v>
      </c>
      <c r="F2635" s="3785"/>
      <c r="G2635" s="3847"/>
      <c r="H2635" s="3848" t="e">
        <f t="shared" si="187"/>
        <v>#DIV/0!</v>
      </c>
      <c r="J2635" s="1370"/>
    </row>
    <row r="2636" spans="1:10" s="1622" customFormat="1" ht="17.100000000000001" customHeight="1" thickBot="1">
      <c r="A2636" s="1631"/>
      <c r="B2636" s="1624" t="s">
        <v>1309</v>
      </c>
      <c r="C2636" s="1972"/>
      <c r="D2636" s="1626" t="s">
        <v>1310</v>
      </c>
      <c r="E2636" s="1627">
        <f>SUM(E2637,E2650)</f>
        <v>4000000</v>
      </c>
      <c r="F2636" s="1628">
        <f>SUM(F2637,F2650)</f>
        <v>4950207</v>
      </c>
      <c r="G2636" s="1629">
        <f>SUM(G2637,G2650)</f>
        <v>4400000</v>
      </c>
      <c r="H2636" s="1630">
        <f t="shared" si="187"/>
        <v>0.8888517187261058</v>
      </c>
      <c r="J2636" s="1370"/>
    </row>
    <row r="2637" spans="1:10" s="1622" customFormat="1" ht="17.100000000000001" customHeight="1">
      <c r="A2637" s="1631"/>
      <c r="B2637" s="4416"/>
      <c r="C2637" s="4417" t="s">
        <v>688</v>
      </c>
      <c r="D2637" s="4417"/>
      <c r="E2637" s="3822">
        <f>SUM(E2642)</f>
        <v>4000000</v>
      </c>
      <c r="F2637" s="1634">
        <f>SUM(F2642)</f>
        <v>4917000</v>
      </c>
      <c r="G2637" s="3823">
        <f>SUM(G2642)</f>
        <v>4400000</v>
      </c>
      <c r="H2637" s="1636">
        <f t="shared" si="187"/>
        <v>0.89485458612975388</v>
      </c>
      <c r="J2637" s="1370"/>
    </row>
    <row r="2638" spans="1:10" s="1622" customFormat="1" ht="17.100000000000001" hidden="1" customHeight="1">
      <c r="A2638" s="1631"/>
      <c r="B2638" s="4416"/>
      <c r="C2638" s="4418" t="s">
        <v>689</v>
      </c>
      <c r="D2638" s="4418"/>
      <c r="E2638" s="3826">
        <f>SUM(E2639:E2641)</f>
        <v>0</v>
      </c>
      <c r="F2638" s="3785">
        <f>SUM(F2639:F2641)</f>
        <v>0</v>
      </c>
      <c r="G2638" s="3834">
        <f>SUM(G2639:G2641)</f>
        <v>0</v>
      </c>
      <c r="H2638" s="3787" t="e">
        <f t="shared" si="187"/>
        <v>#DIV/0!</v>
      </c>
      <c r="J2638" s="1370"/>
    </row>
    <row r="2639" spans="1:10" s="1622" customFormat="1" ht="17.100000000000001" hidden="1" customHeight="1">
      <c r="A2639" s="1631"/>
      <c r="B2639" s="4416"/>
      <c r="C2639" s="4419" t="s">
        <v>704</v>
      </c>
      <c r="D2639" s="4419"/>
      <c r="E2639" s="3321">
        <v>0</v>
      </c>
      <c r="F2639" s="1859">
        <v>0</v>
      </c>
      <c r="G2639" s="3849">
        <v>0</v>
      </c>
      <c r="H2639" s="3787" t="e">
        <f t="shared" si="187"/>
        <v>#DIV/0!</v>
      </c>
      <c r="J2639" s="1370"/>
    </row>
    <row r="2640" spans="1:10" s="1622" customFormat="1" ht="30" hidden="1" customHeight="1">
      <c r="A2640" s="1631"/>
      <c r="B2640" s="4416"/>
      <c r="C2640" s="3850" t="s">
        <v>1122</v>
      </c>
      <c r="D2640" s="3851" t="s">
        <v>1123</v>
      </c>
      <c r="E2640" s="3321">
        <v>0</v>
      </c>
      <c r="F2640" s="1859">
        <v>0</v>
      </c>
      <c r="G2640" s="3849">
        <v>0</v>
      </c>
      <c r="H2640" s="3787" t="e">
        <f t="shared" si="187"/>
        <v>#DIV/0!</v>
      </c>
      <c r="J2640" s="1370"/>
    </row>
    <row r="2641" spans="1:10" s="1622" customFormat="1" ht="17.100000000000001" hidden="1" customHeight="1">
      <c r="A2641" s="1631"/>
      <c r="B2641" s="4416"/>
      <c r="C2641" s="3852"/>
      <c r="D2641" s="3853"/>
      <c r="E2641" s="3822"/>
      <c r="F2641" s="1634"/>
      <c r="G2641" s="3823"/>
      <c r="H2641" s="3787" t="e">
        <f t="shared" si="187"/>
        <v>#DIV/0!</v>
      </c>
      <c r="J2641" s="1370"/>
    </row>
    <row r="2642" spans="1:10" s="1622" customFormat="1" ht="17.100000000000001" customHeight="1">
      <c r="A2642" s="1631"/>
      <c r="B2642" s="4416"/>
      <c r="C2642" s="4406" t="s">
        <v>797</v>
      </c>
      <c r="D2642" s="4406"/>
      <c r="E2642" s="3826">
        <f>SUM(E2643:E2645)</f>
        <v>4000000</v>
      </c>
      <c r="F2642" s="3785">
        <f>SUM(F2643:F2645)</f>
        <v>4917000</v>
      </c>
      <c r="G2642" s="3834">
        <f>SUM(G2643:G2645)</f>
        <v>4400000</v>
      </c>
      <c r="H2642" s="3787">
        <f t="shared" si="187"/>
        <v>0.89485458612975388</v>
      </c>
      <c r="J2642" s="1370"/>
    </row>
    <row r="2643" spans="1:10" s="1622" customFormat="1" ht="45" customHeight="1">
      <c r="A2643" s="1631"/>
      <c r="B2643" s="1671"/>
      <c r="C2643" s="3854" t="s">
        <v>353</v>
      </c>
      <c r="D2643" s="3855" t="s">
        <v>849</v>
      </c>
      <c r="E2643" s="3826">
        <v>0</v>
      </c>
      <c r="F2643" s="3785">
        <v>12000</v>
      </c>
      <c r="G2643" s="3827">
        <v>0</v>
      </c>
      <c r="H2643" s="3787">
        <f t="shared" si="187"/>
        <v>0</v>
      </c>
      <c r="J2643" s="1370"/>
    </row>
    <row r="2644" spans="1:10" s="1622" customFormat="1" ht="44.25" customHeight="1">
      <c r="A2644" s="1631"/>
      <c r="B2644" s="1653"/>
      <c r="C2644" s="3824" t="s">
        <v>1311</v>
      </c>
      <c r="D2644" s="3825" t="s">
        <v>1312</v>
      </c>
      <c r="E2644" s="3826">
        <v>4000000</v>
      </c>
      <c r="F2644" s="3785">
        <v>4411000</v>
      </c>
      <c r="G2644" s="3827">
        <v>4400000</v>
      </c>
      <c r="H2644" s="3787">
        <f t="shared" si="187"/>
        <v>0.99750623441396513</v>
      </c>
      <c r="J2644" s="1370"/>
    </row>
    <row r="2645" spans="1:10" s="1622" customFormat="1" ht="57" customHeight="1">
      <c r="A2645" s="1631"/>
      <c r="B2645" s="1653"/>
      <c r="C2645" s="1664" t="s">
        <v>1313</v>
      </c>
      <c r="D2645" s="2447" t="s">
        <v>1314</v>
      </c>
      <c r="E2645" s="3826">
        <v>0</v>
      </c>
      <c r="F2645" s="3785">
        <v>494000</v>
      </c>
      <c r="G2645" s="3827">
        <v>0</v>
      </c>
      <c r="H2645" s="3787">
        <f t="shared" si="187"/>
        <v>0</v>
      </c>
      <c r="J2645" s="1370"/>
    </row>
    <row r="2646" spans="1:10" s="1622" customFormat="1" ht="17.25" hidden="1" customHeight="1">
      <c r="A2646" s="1631"/>
      <c r="B2646" s="1653"/>
      <c r="C2646" s="3856"/>
      <c r="D2646" s="3857"/>
      <c r="E2646" s="3856"/>
      <c r="F2646" s="3785"/>
      <c r="G2646" s="3827"/>
      <c r="H2646" s="3787" t="e">
        <f t="shared" si="187"/>
        <v>#DIV/0!</v>
      </c>
      <c r="J2646" s="1370"/>
    </row>
    <row r="2647" spans="1:10" s="1622" customFormat="1" ht="16.5" hidden="1" customHeight="1" thickBot="1">
      <c r="A2647" s="1631"/>
      <c r="B2647" s="1653"/>
      <c r="C2647" s="4420" t="s">
        <v>741</v>
      </c>
      <c r="D2647" s="4421"/>
      <c r="E2647" s="3826">
        <v>0</v>
      </c>
      <c r="F2647" s="3785"/>
      <c r="G2647" s="3827"/>
      <c r="H2647" s="3787" t="e">
        <f t="shared" si="187"/>
        <v>#DIV/0!</v>
      </c>
      <c r="J2647" s="1370"/>
    </row>
    <row r="2648" spans="1:10" s="1622" customFormat="1" ht="19.5" hidden="1" customHeight="1" thickBot="1">
      <c r="A2648" s="1631"/>
      <c r="B2648" s="1653"/>
      <c r="C2648" s="3858" t="s">
        <v>1147</v>
      </c>
      <c r="D2648" s="3859" t="s">
        <v>1148</v>
      </c>
      <c r="E2648" s="2423">
        <v>0</v>
      </c>
      <c r="F2648" s="3785"/>
      <c r="G2648" s="3827"/>
      <c r="H2648" s="3787" t="e">
        <f t="shared" si="187"/>
        <v>#DIV/0!</v>
      </c>
      <c r="J2648" s="1370"/>
    </row>
    <row r="2649" spans="1:10" s="1622" customFormat="1" ht="15.75" customHeight="1">
      <c r="A2649" s="1631"/>
      <c r="B2649" s="1653"/>
      <c r="C2649" s="4412"/>
      <c r="D2649" s="4413"/>
      <c r="E2649" s="3826"/>
      <c r="F2649" s="3785"/>
      <c r="G2649" s="3827"/>
      <c r="H2649" s="3787"/>
      <c r="J2649" s="1370"/>
    </row>
    <row r="2650" spans="1:10" s="1622" customFormat="1" ht="19.5" customHeight="1">
      <c r="A2650" s="1653"/>
      <c r="B2650" s="1653"/>
      <c r="C2650" s="4414" t="s">
        <v>744</v>
      </c>
      <c r="D2650" s="4414"/>
      <c r="E2650" s="3822">
        <f t="shared" ref="E2650:G2651" si="188">SUM(E2651)</f>
        <v>0</v>
      </c>
      <c r="F2650" s="1634">
        <f t="shared" si="188"/>
        <v>33207</v>
      </c>
      <c r="G2650" s="3823">
        <f t="shared" si="188"/>
        <v>0</v>
      </c>
      <c r="H2650" s="1636">
        <f t="shared" ref="H2650:H2659" si="189">G2650/F2650</f>
        <v>0</v>
      </c>
      <c r="J2650" s="1370"/>
    </row>
    <row r="2651" spans="1:10" s="1622" customFormat="1" ht="17.25" customHeight="1">
      <c r="A2651" s="1631"/>
      <c r="B2651" s="1653"/>
      <c r="C2651" s="4409" t="s">
        <v>745</v>
      </c>
      <c r="D2651" s="4409"/>
      <c r="E2651" s="3826">
        <f t="shared" si="188"/>
        <v>0</v>
      </c>
      <c r="F2651" s="3785">
        <f t="shared" si="188"/>
        <v>33207</v>
      </c>
      <c r="G2651" s="3834">
        <f t="shared" si="188"/>
        <v>0</v>
      </c>
      <c r="H2651" s="3787">
        <f t="shared" si="189"/>
        <v>0</v>
      </c>
      <c r="J2651" s="1370"/>
    </row>
    <row r="2652" spans="1:10" s="1622" customFormat="1" ht="54" customHeight="1" thickBot="1">
      <c r="A2652" s="1631"/>
      <c r="B2652" s="1653"/>
      <c r="C2652" s="1664" t="s">
        <v>449</v>
      </c>
      <c r="D2652" s="2447" t="s">
        <v>842</v>
      </c>
      <c r="E2652" s="3748">
        <v>0</v>
      </c>
      <c r="F2652" s="3785">
        <v>33207</v>
      </c>
      <c r="G2652" s="3827">
        <v>0</v>
      </c>
      <c r="H2652" s="3848">
        <f t="shared" si="189"/>
        <v>0</v>
      </c>
      <c r="J2652" s="1370"/>
    </row>
    <row r="2653" spans="1:10" s="1622" customFormat="1" ht="17.100000000000001" customHeight="1" thickBot="1">
      <c r="A2653" s="1631"/>
      <c r="B2653" s="1624" t="s">
        <v>1315</v>
      </c>
      <c r="C2653" s="1625"/>
      <c r="D2653" s="1626" t="s">
        <v>312</v>
      </c>
      <c r="E2653" s="1627">
        <f>SUM(E2654,E2692)</f>
        <v>2672601</v>
      </c>
      <c r="F2653" s="1628">
        <f>SUM(F2654,F2692)</f>
        <v>2936011</v>
      </c>
      <c r="G2653" s="1629">
        <f>SUM(G2654,G2692)</f>
        <v>2586333</v>
      </c>
      <c r="H2653" s="1630">
        <f t="shared" si="189"/>
        <v>0.88090030997840263</v>
      </c>
      <c r="J2653" s="1370"/>
    </row>
    <row r="2654" spans="1:10" s="1622" customFormat="1" ht="17.100000000000001" customHeight="1">
      <c r="A2654" s="1631"/>
      <c r="B2654" s="3860"/>
      <c r="C2654" s="4414" t="s">
        <v>688</v>
      </c>
      <c r="D2654" s="4414"/>
      <c r="E2654" s="3822">
        <f>SUM(E2655,E2665,E2670)</f>
        <v>1186750</v>
      </c>
      <c r="F2654" s="1634">
        <f>SUM(F2655,F2665,F2670)</f>
        <v>1530256</v>
      </c>
      <c r="G2654" s="3823">
        <f>SUM(G2655,G2665,G2670)</f>
        <v>1702570</v>
      </c>
      <c r="H2654" s="1636">
        <f t="shared" si="189"/>
        <v>1.1126046883658682</v>
      </c>
      <c r="J2654" s="1370"/>
    </row>
    <row r="2655" spans="1:10" s="1622" customFormat="1" ht="17.100000000000001" customHeight="1">
      <c r="A2655" s="1631"/>
      <c r="B2655" s="3860"/>
      <c r="C2655" s="4406" t="s">
        <v>689</v>
      </c>
      <c r="D2655" s="4406"/>
      <c r="E2655" s="3826">
        <f>SUM(E2656,E2661)</f>
        <v>1091800</v>
      </c>
      <c r="F2655" s="3785">
        <f>SUM(F2656,F2661)</f>
        <v>1291800</v>
      </c>
      <c r="G2655" s="3834">
        <f>SUM(G2656,G2661)</f>
        <v>1702570</v>
      </c>
      <c r="H2655" s="3787">
        <f t="shared" si="189"/>
        <v>1.3179826598544666</v>
      </c>
      <c r="J2655" s="1370"/>
    </row>
    <row r="2656" spans="1:10" s="1622" customFormat="1" ht="17.100000000000001" customHeight="1">
      <c r="A2656" s="1631"/>
      <c r="B2656" s="3860"/>
      <c r="C2656" s="4415" t="s">
        <v>690</v>
      </c>
      <c r="D2656" s="4415"/>
      <c r="E2656" s="3841">
        <f>SUM(E2657:E2659)</f>
        <v>162300</v>
      </c>
      <c r="F2656" s="3842">
        <f>SUM(F2657:F2659)</f>
        <v>247300</v>
      </c>
      <c r="G2656" s="3843">
        <f>SUM(G2657:G2659)</f>
        <v>164550</v>
      </c>
      <c r="H2656" s="3844">
        <f t="shared" si="189"/>
        <v>0.66538617064294381</v>
      </c>
      <c r="J2656" s="1370"/>
    </row>
    <row r="2657" spans="1:10" s="1622" customFormat="1" ht="17.100000000000001" customHeight="1">
      <c r="A2657" s="1631"/>
      <c r="B2657" s="3860"/>
      <c r="C2657" s="3824" t="s">
        <v>696</v>
      </c>
      <c r="D2657" s="3825" t="s">
        <v>697</v>
      </c>
      <c r="E2657" s="3826">
        <v>11224</v>
      </c>
      <c r="F2657" s="3785">
        <v>15136</v>
      </c>
      <c r="G2657" s="3827">
        <v>11224</v>
      </c>
      <c r="H2657" s="3787">
        <f t="shared" si="189"/>
        <v>0.7415433403805497</v>
      </c>
      <c r="J2657" s="1370"/>
    </row>
    <row r="2658" spans="1:10" s="1622" customFormat="1" ht="16.5" customHeight="1">
      <c r="A2658" s="1631"/>
      <c r="B2658" s="3860"/>
      <c r="C2658" s="3824" t="s">
        <v>698</v>
      </c>
      <c r="D2658" s="3825" t="s">
        <v>699</v>
      </c>
      <c r="E2658" s="3826">
        <v>1149</v>
      </c>
      <c r="F2658" s="3785">
        <v>1227</v>
      </c>
      <c r="G2658" s="3827">
        <v>1149</v>
      </c>
      <c r="H2658" s="3787">
        <f t="shared" si="189"/>
        <v>0.9364303178484108</v>
      </c>
      <c r="J2658" s="1370"/>
    </row>
    <row r="2659" spans="1:10" s="1622" customFormat="1" ht="17.100000000000001" customHeight="1">
      <c r="A2659" s="1653"/>
      <c r="B2659" s="3860"/>
      <c r="C2659" s="3837" t="s">
        <v>700</v>
      </c>
      <c r="D2659" s="3829" t="s">
        <v>701</v>
      </c>
      <c r="E2659" s="3826">
        <v>149927</v>
      </c>
      <c r="F2659" s="3785">
        <v>230937</v>
      </c>
      <c r="G2659" s="3827">
        <f>17250+134927</f>
        <v>152177</v>
      </c>
      <c r="H2659" s="3787">
        <f t="shared" si="189"/>
        <v>0.65895460666761929</v>
      </c>
      <c r="J2659" s="1370" t="s">
        <v>1017</v>
      </c>
    </row>
    <row r="2660" spans="1:10" s="1622" customFormat="1" ht="17.100000000000001" customHeight="1">
      <c r="A2660" s="1631"/>
      <c r="B2660" s="3860"/>
      <c r="C2660" s="3851"/>
      <c r="D2660" s="3851"/>
      <c r="E2660" s="3321"/>
      <c r="F2660" s="1859"/>
      <c r="G2660" s="3830"/>
      <c r="H2660" s="1659"/>
      <c r="J2660" s="1370"/>
    </row>
    <row r="2661" spans="1:10" s="1622" customFormat="1" ht="17.100000000000001" customHeight="1">
      <c r="A2661" s="1631"/>
      <c r="B2661" s="3860"/>
      <c r="C2661" s="4403" t="s">
        <v>704</v>
      </c>
      <c r="D2661" s="4403"/>
      <c r="E2661" s="3841">
        <f>SUM(E2662:E2663)</f>
        <v>929500</v>
      </c>
      <c r="F2661" s="3842">
        <f>SUM(F2662:F2663)</f>
        <v>1044500</v>
      </c>
      <c r="G2661" s="3843">
        <f>SUM(G2662:G2663)</f>
        <v>1538020</v>
      </c>
      <c r="H2661" s="3844">
        <f>G2661/F2661</f>
        <v>1.4724940162757301</v>
      </c>
      <c r="J2661" s="1370" t="s">
        <v>1017</v>
      </c>
    </row>
    <row r="2662" spans="1:10" s="1622" customFormat="1" ht="17.100000000000001" customHeight="1">
      <c r="A2662" s="1631"/>
      <c r="B2662" s="3860"/>
      <c r="C2662" s="3824" t="s">
        <v>707</v>
      </c>
      <c r="D2662" s="3825" t="s">
        <v>708</v>
      </c>
      <c r="E2662" s="3826">
        <v>19000</v>
      </c>
      <c r="F2662" s="3785">
        <v>25500</v>
      </c>
      <c r="G2662" s="3827">
        <f>12000+8050</f>
        <v>20050</v>
      </c>
      <c r="H2662" s="3787">
        <f>G2662/F2662</f>
        <v>0.78627450980392155</v>
      </c>
      <c r="J2662" s="1370"/>
    </row>
    <row r="2663" spans="1:10" s="1622" customFormat="1" ht="17.100000000000001" customHeight="1">
      <c r="A2663" s="1631"/>
      <c r="B2663" s="3860"/>
      <c r="C2663" s="3824" t="s">
        <v>717</v>
      </c>
      <c r="D2663" s="3825" t="s">
        <v>718</v>
      </c>
      <c r="E2663" s="3826">
        <v>910500</v>
      </c>
      <c r="F2663" s="3785">
        <v>1019000</v>
      </c>
      <c r="G2663" s="3827">
        <f>8000+1509970</f>
        <v>1517970</v>
      </c>
      <c r="H2663" s="3787">
        <f>G2663/F2663</f>
        <v>1.489666339548577</v>
      </c>
      <c r="J2663" s="1370"/>
    </row>
    <row r="2664" spans="1:10" s="1622" customFormat="1" ht="17.100000000000001" customHeight="1" thickBot="1">
      <c r="A2664" s="1673"/>
      <c r="B2664" s="3861"/>
      <c r="C2664" s="3862"/>
      <c r="D2664" s="3863"/>
      <c r="E2664" s="3748"/>
      <c r="F2664" s="1676"/>
      <c r="G2664" s="3754"/>
      <c r="H2664" s="1678"/>
      <c r="J2664" s="1370"/>
    </row>
    <row r="2665" spans="1:10" s="1622" customFormat="1" ht="17.100000000000001" customHeight="1">
      <c r="A2665" s="1623"/>
      <c r="B2665" s="3864"/>
      <c r="C2665" s="4404" t="s">
        <v>797</v>
      </c>
      <c r="D2665" s="4405"/>
      <c r="E2665" s="3865">
        <f>SUM(E2668)</f>
        <v>0</v>
      </c>
      <c r="F2665" s="3814">
        <f>SUM(F2667:F2668)</f>
        <v>140511</v>
      </c>
      <c r="G2665" s="3814">
        <f>SUM(G2667:G2668)</f>
        <v>0</v>
      </c>
      <c r="H2665" s="3815">
        <f>G2665/F2665</f>
        <v>0</v>
      </c>
      <c r="J2665" s="1370"/>
    </row>
    <row r="2666" spans="1:10" s="1622" customFormat="1" ht="40.5" hidden="1" customHeight="1">
      <c r="A2666" s="1631"/>
      <c r="B2666" s="3866"/>
      <c r="C2666" s="3867" t="s">
        <v>351</v>
      </c>
      <c r="D2666" s="3868" t="s">
        <v>1316</v>
      </c>
      <c r="E2666" s="3826">
        <v>0</v>
      </c>
      <c r="F2666" s="3785"/>
      <c r="G2666" s="3827"/>
      <c r="H2666" s="3787" t="e">
        <f>G2666/F2666</f>
        <v>#DIV/0!</v>
      </c>
      <c r="J2666" s="1370"/>
    </row>
    <row r="2667" spans="1:10" s="1622" customFormat="1" ht="56.25" customHeight="1">
      <c r="A2667" s="1631"/>
      <c r="B2667" s="3866"/>
      <c r="C2667" s="3824" t="s">
        <v>374</v>
      </c>
      <c r="D2667" s="3869" t="s">
        <v>817</v>
      </c>
      <c r="E2667" s="3826">
        <v>0</v>
      </c>
      <c r="F2667" s="3785">
        <v>16880</v>
      </c>
      <c r="G2667" s="3827">
        <v>0</v>
      </c>
      <c r="H2667" s="3787">
        <f>G2667/F2667</f>
        <v>0</v>
      </c>
      <c r="J2667" s="1370"/>
    </row>
    <row r="2668" spans="1:10" s="1622" customFormat="1" ht="45" customHeight="1">
      <c r="A2668" s="1631"/>
      <c r="B2668" s="3866"/>
      <c r="C2668" s="3824" t="s">
        <v>353</v>
      </c>
      <c r="D2668" s="3825" t="s">
        <v>932</v>
      </c>
      <c r="E2668" s="3826">
        <v>0</v>
      </c>
      <c r="F2668" s="3785">
        <v>123631</v>
      </c>
      <c r="G2668" s="3827">
        <v>0</v>
      </c>
      <c r="H2668" s="3787">
        <f>G2668/F2668</f>
        <v>0</v>
      </c>
      <c r="J2668" s="1370"/>
    </row>
    <row r="2669" spans="1:10" s="1622" customFormat="1" ht="17.100000000000001" customHeight="1">
      <c r="A2669" s="1631"/>
      <c r="B2669" s="3866"/>
      <c r="C2669" s="3870"/>
      <c r="D2669" s="3871"/>
      <c r="E2669" s="3826"/>
      <c r="F2669" s="3785"/>
      <c r="G2669" s="3827"/>
      <c r="H2669" s="3787"/>
      <c r="J2669" s="1370"/>
    </row>
    <row r="2670" spans="1:10" s="1622" customFormat="1" ht="17.100000000000001" customHeight="1">
      <c r="A2670" s="1631"/>
      <c r="B2670" s="3866"/>
      <c r="C2670" s="4406" t="s">
        <v>761</v>
      </c>
      <c r="D2670" s="4406"/>
      <c r="E2670" s="3826">
        <f>SUM(E2673:E2688)</f>
        <v>94950</v>
      </c>
      <c r="F2670" s="3785">
        <f>SUM(F2673:F2688)</f>
        <v>97945</v>
      </c>
      <c r="G2670" s="3834">
        <f>SUM(G2673:G2688)</f>
        <v>0</v>
      </c>
      <c r="H2670" s="3787">
        <f t="shared" ref="H2670:H2690" si="190">G2670/F2670</f>
        <v>0</v>
      </c>
      <c r="J2670" s="1370"/>
    </row>
    <row r="2671" spans="1:10" s="1622" customFormat="1" ht="17.100000000000001" hidden="1" customHeight="1">
      <c r="A2671" s="1631"/>
      <c r="B2671" s="3866"/>
      <c r="C2671" s="3824" t="s">
        <v>996</v>
      </c>
      <c r="D2671" s="3872" t="s">
        <v>993</v>
      </c>
      <c r="E2671" s="3826">
        <v>0</v>
      </c>
      <c r="F2671" s="3785"/>
      <c r="G2671" s="3827"/>
      <c r="H2671" s="3787" t="e">
        <f t="shared" si="190"/>
        <v>#DIV/0!</v>
      </c>
      <c r="J2671" s="1370"/>
    </row>
    <row r="2672" spans="1:10" s="1622" customFormat="1" ht="17.100000000000001" hidden="1" customHeight="1">
      <c r="A2672" s="1631"/>
      <c r="B2672" s="3866"/>
      <c r="C2672" s="3824" t="s">
        <v>997</v>
      </c>
      <c r="D2672" s="3872" t="s">
        <v>993</v>
      </c>
      <c r="E2672" s="3826">
        <v>0</v>
      </c>
      <c r="F2672" s="3785"/>
      <c r="G2672" s="3827"/>
      <c r="H2672" s="3787" t="e">
        <f t="shared" si="190"/>
        <v>#DIV/0!</v>
      </c>
      <c r="J2672" s="1370"/>
    </row>
    <row r="2673" spans="1:10" s="1622" customFormat="1" ht="17.100000000000001" customHeight="1">
      <c r="A2673" s="1631"/>
      <c r="B2673" s="3866"/>
      <c r="C2673" s="3824" t="s">
        <v>766</v>
      </c>
      <c r="D2673" s="3825" t="s">
        <v>693</v>
      </c>
      <c r="E2673" s="3826">
        <v>50150</v>
      </c>
      <c r="F2673" s="3785">
        <v>52020</v>
      </c>
      <c r="G2673" s="3827">
        <v>0</v>
      </c>
      <c r="H2673" s="3787">
        <f t="shared" si="190"/>
        <v>0</v>
      </c>
      <c r="J2673" s="1370"/>
    </row>
    <row r="2674" spans="1:10" s="1622" customFormat="1" ht="17.100000000000001" customHeight="1">
      <c r="A2674" s="1631"/>
      <c r="B2674" s="3866"/>
      <c r="C2674" s="3824" t="s">
        <v>767</v>
      </c>
      <c r="D2674" s="3825" t="s">
        <v>693</v>
      </c>
      <c r="E2674" s="3826">
        <v>8850</v>
      </c>
      <c r="F2674" s="3785">
        <v>9180</v>
      </c>
      <c r="G2674" s="3827">
        <v>0</v>
      </c>
      <c r="H2674" s="3787">
        <f t="shared" si="190"/>
        <v>0</v>
      </c>
      <c r="J2674" s="1370"/>
    </row>
    <row r="2675" spans="1:10" s="1622" customFormat="1" ht="17.100000000000001" hidden="1" customHeight="1">
      <c r="A2675" s="1631"/>
      <c r="B2675" s="3866"/>
      <c r="C2675" s="3824" t="s">
        <v>768</v>
      </c>
      <c r="D2675" s="3825" t="s">
        <v>695</v>
      </c>
      <c r="E2675" s="3826">
        <v>0</v>
      </c>
      <c r="F2675" s="3785"/>
      <c r="G2675" s="3827"/>
      <c r="H2675" s="3787" t="e">
        <f t="shared" si="190"/>
        <v>#DIV/0!</v>
      </c>
      <c r="J2675" s="1370"/>
    </row>
    <row r="2676" spans="1:10" s="1622" customFormat="1" ht="17.100000000000001" hidden="1" customHeight="1">
      <c r="A2676" s="1631"/>
      <c r="B2676" s="3866"/>
      <c r="C2676" s="3824" t="s">
        <v>769</v>
      </c>
      <c r="D2676" s="3825" t="s">
        <v>695</v>
      </c>
      <c r="E2676" s="3826">
        <v>0</v>
      </c>
      <c r="F2676" s="3785"/>
      <c r="G2676" s="3827"/>
      <c r="H2676" s="3787" t="e">
        <f t="shared" si="190"/>
        <v>#DIV/0!</v>
      </c>
      <c r="J2676" s="1370"/>
    </row>
    <row r="2677" spans="1:10" s="1622" customFormat="1" ht="17.100000000000001" customHeight="1">
      <c r="A2677" s="1631"/>
      <c r="B2677" s="3866"/>
      <c r="C2677" s="3824" t="s">
        <v>770</v>
      </c>
      <c r="D2677" s="3825" t="s">
        <v>697</v>
      </c>
      <c r="E2677" s="3826">
        <v>8092</v>
      </c>
      <c r="F2677" s="3785">
        <v>8549</v>
      </c>
      <c r="G2677" s="3827">
        <v>0</v>
      </c>
      <c r="H2677" s="3787">
        <f t="shared" si="190"/>
        <v>0</v>
      </c>
      <c r="J2677" s="1370"/>
    </row>
    <row r="2678" spans="1:10" s="1622" customFormat="1" ht="17.100000000000001" customHeight="1">
      <c r="A2678" s="1631"/>
      <c r="B2678" s="3866"/>
      <c r="C2678" s="3824" t="s">
        <v>771</v>
      </c>
      <c r="D2678" s="3825" t="s">
        <v>697</v>
      </c>
      <c r="E2678" s="3826">
        <v>1428</v>
      </c>
      <c r="F2678" s="3785">
        <v>1509</v>
      </c>
      <c r="G2678" s="3827">
        <v>0</v>
      </c>
      <c r="H2678" s="3787">
        <f t="shared" si="190"/>
        <v>0</v>
      </c>
      <c r="J2678" s="1370"/>
    </row>
    <row r="2679" spans="1:10" s="1622" customFormat="1" ht="16.5" customHeight="1">
      <c r="A2679" s="1631"/>
      <c r="B2679" s="3866"/>
      <c r="C2679" s="3824" t="s">
        <v>772</v>
      </c>
      <c r="D2679" s="3825" t="s">
        <v>699</v>
      </c>
      <c r="E2679" s="3826">
        <v>1190</v>
      </c>
      <c r="F2679" s="3785">
        <v>1208</v>
      </c>
      <c r="G2679" s="3827">
        <v>0</v>
      </c>
      <c r="H2679" s="3787">
        <f t="shared" si="190"/>
        <v>0</v>
      </c>
      <c r="J2679" s="1370"/>
    </row>
    <row r="2680" spans="1:10" s="1622" customFormat="1" ht="16.5" customHeight="1">
      <c r="A2680" s="1631"/>
      <c r="B2680" s="3866"/>
      <c r="C2680" s="3824" t="s">
        <v>773</v>
      </c>
      <c r="D2680" s="3825" t="s">
        <v>699</v>
      </c>
      <c r="E2680" s="3826">
        <v>210</v>
      </c>
      <c r="F2680" s="3785">
        <v>213</v>
      </c>
      <c r="G2680" s="3827">
        <v>0</v>
      </c>
      <c r="H2680" s="3787">
        <f t="shared" si="190"/>
        <v>0</v>
      </c>
      <c r="J2680" s="1370"/>
    </row>
    <row r="2681" spans="1:10" s="1622" customFormat="1" ht="17.100000000000001" customHeight="1">
      <c r="A2681" s="1631"/>
      <c r="B2681" s="3866"/>
      <c r="C2681" s="3824" t="s">
        <v>774</v>
      </c>
      <c r="D2681" s="3825" t="s">
        <v>701</v>
      </c>
      <c r="E2681" s="3826">
        <v>11628</v>
      </c>
      <c r="F2681" s="3785">
        <v>11628</v>
      </c>
      <c r="G2681" s="3827">
        <v>0</v>
      </c>
      <c r="H2681" s="3787">
        <f t="shared" si="190"/>
        <v>0</v>
      </c>
      <c r="J2681" s="1370"/>
    </row>
    <row r="2682" spans="1:10" s="1622" customFormat="1" ht="17.100000000000001" customHeight="1">
      <c r="A2682" s="1631"/>
      <c r="B2682" s="3866"/>
      <c r="C2682" s="3824" t="s">
        <v>775</v>
      </c>
      <c r="D2682" s="3825" t="s">
        <v>701</v>
      </c>
      <c r="E2682" s="3826">
        <v>2052</v>
      </c>
      <c r="F2682" s="3785">
        <v>2052</v>
      </c>
      <c r="G2682" s="3827">
        <v>0</v>
      </c>
      <c r="H2682" s="3787">
        <f t="shared" si="190"/>
        <v>0</v>
      </c>
      <c r="J2682" s="1370"/>
    </row>
    <row r="2683" spans="1:10" s="1622" customFormat="1" ht="17.100000000000001" customHeight="1">
      <c r="A2683" s="1631"/>
      <c r="B2683" s="3866"/>
      <c r="C2683" s="3824" t="s">
        <v>779</v>
      </c>
      <c r="D2683" s="3825" t="s">
        <v>708</v>
      </c>
      <c r="E2683" s="3826">
        <v>9066</v>
      </c>
      <c r="F2683" s="3785">
        <v>9267</v>
      </c>
      <c r="G2683" s="3827">
        <v>0</v>
      </c>
      <c r="H2683" s="3787">
        <f t="shared" si="190"/>
        <v>0</v>
      </c>
      <c r="J2683" s="1370"/>
    </row>
    <row r="2684" spans="1:10" s="1622" customFormat="1" ht="17.100000000000001" customHeight="1">
      <c r="A2684" s="1653"/>
      <c r="B2684" s="3866"/>
      <c r="C2684" s="3837" t="s">
        <v>780</v>
      </c>
      <c r="D2684" s="3829" t="s">
        <v>708</v>
      </c>
      <c r="E2684" s="3826">
        <v>1600</v>
      </c>
      <c r="F2684" s="3785">
        <v>1635</v>
      </c>
      <c r="G2684" s="3827">
        <v>0</v>
      </c>
      <c r="H2684" s="3787">
        <f t="shared" si="190"/>
        <v>0</v>
      </c>
      <c r="J2684" s="1370"/>
    </row>
    <row r="2685" spans="1:10" s="1622" customFormat="1" ht="17.100000000000001" hidden="1" customHeight="1">
      <c r="A2685" s="1631"/>
      <c r="B2685" s="3866"/>
      <c r="C2685" s="3873" t="s">
        <v>783</v>
      </c>
      <c r="D2685" s="3859" t="s">
        <v>718</v>
      </c>
      <c r="E2685" s="3321">
        <v>0</v>
      </c>
      <c r="F2685" s="3785"/>
      <c r="G2685" s="3827"/>
      <c r="H2685" s="3787" t="e">
        <f t="shared" si="190"/>
        <v>#DIV/0!</v>
      </c>
      <c r="J2685" s="1370"/>
    </row>
    <row r="2686" spans="1:10" s="1622" customFormat="1" ht="17.100000000000001" hidden="1" customHeight="1">
      <c r="A2686" s="1631"/>
      <c r="B2686" s="3866"/>
      <c r="C2686" s="3874" t="s">
        <v>784</v>
      </c>
      <c r="D2686" s="3825" t="s">
        <v>718</v>
      </c>
      <c r="E2686" s="3826">
        <v>0</v>
      </c>
      <c r="F2686" s="3785"/>
      <c r="G2686" s="3827"/>
      <c r="H2686" s="3787" t="e">
        <f t="shared" si="190"/>
        <v>#DIV/0!</v>
      </c>
      <c r="J2686" s="1370"/>
    </row>
    <row r="2687" spans="1:10" s="1622" customFormat="1" ht="17.100000000000001" customHeight="1">
      <c r="A2687" s="1631"/>
      <c r="B2687" s="3866"/>
      <c r="C2687" s="3874" t="s">
        <v>787</v>
      </c>
      <c r="D2687" s="3825" t="s">
        <v>726</v>
      </c>
      <c r="E2687" s="3826">
        <v>581</v>
      </c>
      <c r="F2687" s="3785">
        <v>581</v>
      </c>
      <c r="G2687" s="3827">
        <v>0</v>
      </c>
      <c r="H2687" s="3787">
        <f t="shared" si="190"/>
        <v>0</v>
      </c>
      <c r="J2687" s="1370"/>
    </row>
    <row r="2688" spans="1:10" s="1622" customFormat="1" ht="17.100000000000001" customHeight="1">
      <c r="A2688" s="1653"/>
      <c r="B2688" s="3866"/>
      <c r="C2688" s="3837" t="s">
        <v>788</v>
      </c>
      <c r="D2688" s="3829" t="s">
        <v>726</v>
      </c>
      <c r="E2688" s="3826">
        <v>103</v>
      </c>
      <c r="F2688" s="3785">
        <v>103</v>
      </c>
      <c r="G2688" s="3827">
        <v>0</v>
      </c>
      <c r="H2688" s="3787">
        <f t="shared" si="190"/>
        <v>0</v>
      </c>
      <c r="J2688" s="1370"/>
    </row>
    <row r="2689" spans="1:10" s="1622" customFormat="1" ht="17.100000000000001" hidden="1" customHeight="1">
      <c r="A2689" s="1631"/>
      <c r="B2689" s="3866"/>
      <c r="C2689" s="3875" t="s">
        <v>904</v>
      </c>
      <c r="D2689" s="3876" t="s">
        <v>866</v>
      </c>
      <c r="E2689" s="3826">
        <v>0</v>
      </c>
      <c r="F2689" s="3785"/>
      <c r="G2689" s="3827"/>
      <c r="H2689" s="3787" t="e">
        <f t="shared" si="190"/>
        <v>#DIV/0!</v>
      </c>
      <c r="J2689" s="1370"/>
    </row>
    <row r="2690" spans="1:10" s="1622" customFormat="1" ht="17.100000000000001" hidden="1" customHeight="1">
      <c r="A2690" s="1631"/>
      <c r="B2690" s="3866"/>
      <c r="C2690" s="3837" t="s">
        <v>905</v>
      </c>
      <c r="D2690" s="3877" t="s">
        <v>866</v>
      </c>
      <c r="E2690" s="3826">
        <v>0</v>
      </c>
      <c r="F2690" s="3785"/>
      <c r="G2690" s="3827"/>
      <c r="H2690" s="3787" t="e">
        <f t="shared" si="190"/>
        <v>#DIV/0!</v>
      </c>
      <c r="J2690" s="1370"/>
    </row>
    <row r="2691" spans="1:10" s="1622" customFormat="1" ht="14.25" customHeight="1">
      <c r="A2691" s="1653"/>
      <c r="B2691" s="3866"/>
      <c r="C2691" s="3878"/>
      <c r="D2691" s="3879"/>
      <c r="E2691" s="3321"/>
      <c r="F2691" s="1859"/>
      <c r="G2691" s="3830"/>
      <c r="H2691" s="1659"/>
      <c r="J2691" s="1370"/>
    </row>
    <row r="2692" spans="1:10" s="1622" customFormat="1" ht="17.100000000000001" customHeight="1">
      <c r="A2692" s="1631"/>
      <c r="B2692" s="1653"/>
      <c r="C2692" s="4407" t="s">
        <v>744</v>
      </c>
      <c r="D2692" s="4407"/>
      <c r="E2692" s="3831">
        <f>SUM(E2693)</f>
        <v>1485851</v>
      </c>
      <c r="F2692" s="3832">
        <f>SUM(F2693)</f>
        <v>1405755</v>
      </c>
      <c r="G2692" s="3833">
        <f>SUM(G2693)</f>
        <v>883763</v>
      </c>
      <c r="H2692" s="3794">
        <f t="shared" ref="H2692:H2720" si="191">G2692/F2692</f>
        <v>0.6286749824827228</v>
      </c>
      <c r="J2692" s="1370"/>
    </row>
    <row r="2693" spans="1:10" s="1622" customFormat="1" ht="17.100000000000001" customHeight="1">
      <c r="A2693" s="1631"/>
      <c r="B2693" s="1653"/>
      <c r="C2693" s="4408" t="s">
        <v>745</v>
      </c>
      <c r="D2693" s="4409"/>
      <c r="E2693" s="3826">
        <f>SUM(E2697:E2698)</f>
        <v>1485851</v>
      </c>
      <c r="F2693" s="3785">
        <f>SUM(F2697:F2698)</f>
        <v>1405755</v>
      </c>
      <c r="G2693" s="3834">
        <f>SUM(G2697:G2698)</f>
        <v>883763</v>
      </c>
      <c r="H2693" s="3787">
        <f t="shared" si="191"/>
        <v>0.6286749824827228</v>
      </c>
      <c r="J2693" s="1370"/>
    </row>
    <row r="2694" spans="1:10" s="1622" customFormat="1" ht="17.100000000000001" hidden="1" customHeight="1">
      <c r="A2694" s="1631"/>
      <c r="B2694" s="1653"/>
      <c r="C2694" s="3880" t="s">
        <v>755</v>
      </c>
      <c r="D2694" s="3859" t="s">
        <v>747</v>
      </c>
      <c r="E2694" s="3818">
        <v>0</v>
      </c>
      <c r="F2694" s="3881"/>
      <c r="G2694" s="3768"/>
      <c r="H2694" s="3882" t="e">
        <f t="shared" si="191"/>
        <v>#DIV/0!</v>
      </c>
      <c r="J2694" s="1370"/>
    </row>
    <row r="2695" spans="1:10" s="1622" customFormat="1" ht="17.100000000000001" hidden="1" customHeight="1">
      <c r="A2695" s="1631"/>
      <c r="B2695" s="1653"/>
      <c r="C2695" s="3883" t="s">
        <v>855</v>
      </c>
      <c r="D2695" s="3859" t="s">
        <v>747</v>
      </c>
      <c r="E2695" s="3818">
        <v>0</v>
      </c>
      <c r="F2695" s="3881"/>
      <c r="G2695" s="3768"/>
      <c r="H2695" s="3882" t="e">
        <f t="shared" si="191"/>
        <v>#DIV/0!</v>
      </c>
      <c r="J2695" s="1370"/>
    </row>
    <row r="2696" spans="1:10" s="1622" customFormat="1" ht="17.100000000000001" hidden="1" customHeight="1">
      <c r="A2696" s="1631"/>
      <c r="B2696" s="1653"/>
      <c r="C2696" s="3880" t="s">
        <v>856</v>
      </c>
      <c r="D2696" s="3859" t="s">
        <v>747</v>
      </c>
      <c r="E2696" s="3818">
        <v>0</v>
      </c>
      <c r="F2696" s="3881"/>
      <c r="G2696" s="3768"/>
      <c r="H2696" s="3882" t="e">
        <f t="shared" si="191"/>
        <v>#DIV/0!</v>
      </c>
      <c r="J2696" s="1370"/>
    </row>
    <row r="2697" spans="1:10" s="1622" customFormat="1" ht="56.25" customHeight="1">
      <c r="A2697" s="1631"/>
      <c r="B2697" s="1653"/>
      <c r="C2697" s="3880" t="s">
        <v>449</v>
      </c>
      <c r="D2697" s="3859" t="s">
        <v>842</v>
      </c>
      <c r="E2697" s="3818">
        <v>1485851</v>
      </c>
      <c r="F2697" s="3881">
        <v>1257013</v>
      </c>
      <c r="G2697" s="3768">
        <v>883763</v>
      </c>
      <c r="H2697" s="3882">
        <f t="shared" si="191"/>
        <v>0.70306591896822068</v>
      </c>
      <c r="J2697" s="1370" t="s">
        <v>823</v>
      </c>
    </row>
    <row r="2698" spans="1:10" s="1622" customFormat="1" ht="43.5" customHeight="1" thickBot="1">
      <c r="A2698" s="1673"/>
      <c r="B2698" s="1890"/>
      <c r="C2698" s="3884" t="s">
        <v>880</v>
      </c>
      <c r="D2698" s="3885" t="s">
        <v>881</v>
      </c>
      <c r="E2698" s="3886">
        <v>0</v>
      </c>
      <c r="F2698" s="3887">
        <v>148742</v>
      </c>
      <c r="G2698" s="3888">
        <v>0</v>
      </c>
      <c r="H2698" s="3889">
        <f t="shared" si="191"/>
        <v>0</v>
      </c>
      <c r="J2698" s="1370"/>
    </row>
    <row r="2699" spans="1:10" ht="26.25" hidden="1" thickBot="1">
      <c r="A2699" s="1556"/>
      <c r="B2699" s="1750"/>
      <c r="C2699" s="3890" t="s">
        <v>977</v>
      </c>
      <c r="D2699" s="3891" t="s">
        <v>978</v>
      </c>
      <c r="E2699" s="3892">
        <v>0</v>
      </c>
      <c r="F2699" s="1909"/>
      <c r="G2699" s="3893"/>
      <c r="H2699" s="1942" t="e">
        <f t="shared" si="191"/>
        <v>#DIV/0!</v>
      </c>
    </row>
    <row r="2700" spans="1:10" ht="17.100000000000001" hidden="1" customHeight="1" thickBot="1">
      <c r="A2700" s="1556"/>
      <c r="B2700" s="1750"/>
      <c r="C2700" s="4410"/>
      <c r="D2700" s="4411"/>
      <c r="E2700" s="3894"/>
      <c r="F2700" s="3895"/>
      <c r="G2700" s="3896"/>
      <c r="H2700" s="3897" t="e">
        <f t="shared" si="191"/>
        <v>#DIV/0!</v>
      </c>
    </row>
    <row r="2701" spans="1:10" ht="27" hidden="1" customHeight="1" thickBot="1">
      <c r="A2701" s="1556"/>
      <c r="B2701" s="1750"/>
      <c r="C2701" s="4395" t="s">
        <v>758</v>
      </c>
      <c r="D2701" s="4396"/>
      <c r="E2701" s="3894">
        <v>0</v>
      </c>
      <c r="F2701" s="3895"/>
      <c r="G2701" s="3896"/>
      <c r="H2701" s="3897" t="e">
        <f t="shared" si="191"/>
        <v>#DIV/0!</v>
      </c>
    </row>
    <row r="2702" spans="1:10" ht="17.100000000000001" hidden="1" customHeight="1" thickBot="1">
      <c r="A2702" s="1556"/>
      <c r="B2702" s="1750"/>
      <c r="C2702" s="3898" t="s">
        <v>755</v>
      </c>
      <c r="D2702" s="3899" t="s">
        <v>747</v>
      </c>
      <c r="E2702" s="3900">
        <v>0</v>
      </c>
      <c r="F2702" s="3895"/>
      <c r="G2702" s="3896"/>
      <c r="H2702" s="3897" t="e">
        <f t="shared" si="191"/>
        <v>#DIV/0!</v>
      </c>
    </row>
    <row r="2703" spans="1:10" ht="17.100000000000001" hidden="1" customHeight="1" thickBot="1">
      <c r="A2703" s="1556"/>
      <c r="B2703" s="1750"/>
      <c r="C2703" s="3898" t="s">
        <v>855</v>
      </c>
      <c r="D2703" s="3899" t="s">
        <v>747</v>
      </c>
      <c r="E2703" s="3900">
        <v>0</v>
      </c>
      <c r="F2703" s="3895"/>
      <c r="G2703" s="3896"/>
      <c r="H2703" s="3897" t="e">
        <f t="shared" si="191"/>
        <v>#DIV/0!</v>
      </c>
    </row>
    <row r="2704" spans="1:10" ht="17.100000000000001" hidden="1" customHeight="1" thickBot="1">
      <c r="A2704" s="1556"/>
      <c r="B2704" s="1750"/>
      <c r="C2704" s="3898" t="s">
        <v>856</v>
      </c>
      <c r="D2704" s="3899" t="s">
        <v>747</v>
      </c>
      <c r="E2704" s="3900">
        <v>0</v>
      </c>
      <c r="F2704" s="3895"/>
      <c r="G2704" s="3896"/>
      <c r="H2704" s="3897" t="e">
        <f t="shared" si="191"/>
        <v>#DIV/0!</v>
      </c>
    </row>
    <row r="2705" spans="1:10" ht="28.5" hidden="1" customHeight="1" thickBot="1">
      <c r="A2705" s="1556"/>
      <c r="B2705" s="1750"/>
      <c r="C2705" s="3898" t="s">
        <v>977</v>
      </c>
      <c r="D2705" s="3901" t="s">
        <v>978</v>
      </c>
      <c r="E2705" s="3900">
        <v>0</v>
      </c>
      <c r="F2705" s="3895"/>
      <c r="G2705" s="3896"/>
      <c r="H2705" s="3902" t="e">
        <f t="shared" si="191"/>
        <v>#DIV/0!</v>
      </c>
    </row>
    <row r="2706" spans="1:10" s="1370" customFormat="1" ht="27.75" customHeight="1" thickBot="1">
      <c r="A2706" s="1595" t="s">
        <v>1317</v>
      </c>
      <c r="B2706" s="1596"/>
      <c r="C2706" s="1597"/>
      <c r="D2706" s="1598" t="s">
        <v>1318</v>
      </c>
      <c r="E2706" s="1599">
        <f>SUM(E2711,E2749)</f>
        <v>1543154</v>
      </c>
      <c r="F2706" s="1600">
        <f>SUM(F2711,F2749)</f>
        <v>1806916</v>
      </c>
      <c r="G2706" s="1601">
        <f>SUM(G2711,G2749)</f>
        <v>1721477</v>
      </c>
      <c r="H2706" s="1602">
        <f t="shared" si="191"/>
        <v>0.9527155661912341</v>
      </c>
    </row>
    <row r="2707" spans="1:10" s="1370" customFormat="1" ht="33.75" hidden="1" customHeight="1" thickBot="1">
      <c r="A2707" s="2245"/>
      <c r="B2707" s="1500" t="s">
        <v>1319</v>
      </c>
      <c r="C2707" s="1501"/>
      <c r="D2707" s="1502" t="s">
        <v>1320</v>
      </c>
      <c r="E2707" s="1503">
        <v>0</v>
      </c>
      <c r="F2707" s="1504">
        <v>0</v>
      </c>
      <c r="G2707" s="1505">
        <v>0</v>
      </c>
      <c r="H2707" s="1509" t="e">
        <f t="shared" si="191"/>
        <v>#DIV/0!</v>
      </c>
    </row>
    <row r="2708" spans="1:10" s="1370" customFormat="1" ht="18.75" hidden="1" customHeight="1" thickBot="1">
      <c r="A2708" s="2245"/>
      <c r="B2708" s="4397"/>
      <c r="C2708" s="4399" t="s">
        <v>744</v>
      </c>
      <c r="D2708" s="4399"/>
      <c r="E2708" s="2248">
        <v>0</v>
      </c>
      <c r="F2708" s="3903">
        <v>0</v>
      </c>
      <c r="G2708" s="3904">
        <v>0</v>
      </c>
      <c r="H2708" s="3905" t="e">
        <f t="shared" si="191"/>
        <v>#DIV/0!</v>
      </c>
    </row>
    <row r="2709" spans="1:10" s="1370" customFormat="1" ht="18.75" hidden="1" customHeight="1" thickBot="1">
      <c r="A2709" s="2245"/>
      <c r="B2709" s="4398"/>
      <c r="C2709" s="4400" t="s">
        <v>745</v>
      </c>
      <c r="D2709" s="4401"/>
      <c r="E2709" s="3906">
        <v>0</v>
      </c>
      <c r="F2709" s="3907">
        <v>0</v>
      </c>
      <c r="G2709" s="3908">
        <v>0</v>
      </c>
      <c r="H2709" s="3905" t="e">
        <f t="shared" si="191"/>
        <v>#DIV/0!</v>
      </c>
    </row>
    <row r="2710" spans="1:10" s="1370" customFormat="1" ht="42.75" hidden="1" customHeight="1" thickBot="1">
      <c r="A2710" s="2245"/>
      <c r="B2710" s="4398"/>
      <c r="C2710" s="3909" t="s">
        <v>973</v>
      </c>
      <c r="D2710" s="1479" t="s">
        <v>974</v>
      </c>
      <c r="E2710" s="3910">
        <v>0</v>
      </c>
      <c r="F2710" s="3911">
        <v>0</v>
      </c>
      <c r="G2710" s="3912">
        <v>0</v>
      </c>
      <c r="H2710" s="3913" t="e">
        <f t="shared" si="191"/>
        <v>#DIV/0!</v>
      </c>
    </row>
    <row r="2711" spans="1:10" s="1370" customFormat="1" ht="17.100000000000001" customHeight="1" thickBot="1">
      <c r="A2711" s="1585"/>
      <c r="B2711" s="1500" t="s">
        <v>1321</v>
      </c>
      <c r="C2711" s="1501"/>
      <c r="D2711" s="1502" t="s">
        <v>674</v>
      </c>
      <c r="E2711" s="1503">
        <f>SUM(E2712)</f>
        <v>1521154</v>
      </c>
      <c r="F2711" s="1504">
        <f>SUM(F2712)</f>
        <v>1779916</v>
      </c>
      <c r="G2711" s="1505">
        <f>SUM(G2712)</f>
        <v>1687477</v>
      </c>
      <c r="H2711" s="1506">
        <f t="shared" si="191"/>
        <v>0.94806552668777633</v>
      </c>
      <c r="J2711" s="1370" t="s">
        <v>1270</v>
      </c>
    </row>
    <row r="2712" spans="1:10" s="1370" customFormat="1" ht="17.100000000000001" customHeight="1">
      <c r="A2712" s="1408"/>
      <c r="B2712" s="1429"/>
      <c r="C2712" s="4358" t="s">
        <v>688</v>
      </c>
      <c r="D2712" s="4358"/>
      <c r="E2712" s="2946">
        <f>SUM(E2713,E2741)</f>
        <v>1521154</v>
      </c>
      <c r="F2712" s="1418">
        <f>SUM(F2713,F2741)</f>
        <v>1779916</v>
      </c>
      <c r="G2712" s="2947">
        <f>SUM(G2713,G2741)</f>
        <v>1687477</v>
      </c>
      <c r="H2712" s="1509">
        <f t="shared" si="191"/>
        <v>0.94806552668777633</v>
      </c>
    </row>
    <row r="2713" spans="1:10" s="1370" customFormat="1" ht="17.100000000000001" customHeight="1">
      <c r="A2713" s="1408"/>
      <c r="B2713" s="1429"/>
      <c r="C2713" s="4402" t="s">
        <v>689</v>
      </c>
      <c r="D2713" s="4402"/>
      <c r="E2713" s="3801">
        <f>SUM(E2714,E2722)</f>
        <v>1450974</v>
      </c>
      <c r="F2713" s="3914">
        <f>SUM(F2714,F2722)</f>
        <v>1708236</v>
      </c>
      <c r="G2713" s="3915">
        <f>SUM(G2714,G2722)</f>
        <v>1635908</v>
      </c>
      <c r="H2713" s="3916">
        <f t="shared" si="191"/>
        <v>0.95765924614631703</v>
      </c>
    </row>
    <row r="2714" spans="1:10" s="1370" customFormat="1" ht="17.100000000000001" customHeight="1">
      <c r="A2714" s="1408"/>
      <c r="B2714" s="1429"/>
      <c r="C2714" s="4385" t="s">
        <v>690</v>
      </c>
      <c r="D2714" s="4385"/>
      <c r="E2714" s="3917">
        <f>SUM(E2715:E2720)</f>
        <v>1165173</v>
      </c>
      <c r="F2714" s="3918">
        <f>SUM(F2715:F2720)</f>
        <v>1163333</v>
      </c>
      <c r="G2714" s="3919">
        <f>SUM(G2715:G2720)</f>
        <v>1320380</v>
      </c>
      <c r="H2714" s="3920">
        <f t="shared" si="191"/>
        <v>1.1349974598846591</v>
      </c>
    </row>
    <row r="2715" spans="1:10" s="1370" customFormat="1" ht="17.100000000000001" customHeight="1">
      <c r="A2715" s="1408"/>
      <c r="B2715" s="1429"/>
      <c r="C2715" s="3921" t="s">
        <v>692</v>
      </c>
      <c r="D2715" s="3922" t="s">
        <v>693</v>
      </c>
      <c r="E2715" s="3801">
        <v>895996</v>
      </c>
      <c r="F2715" s="3914">
        <v>895996</v>
      </c>
      <c r="G2715" s="3644">
        <v>1015660</v>
      </c>
      <c r="H2715" s="3916">
        <f t="shared" si="191"/>
        <v>1.1335541676525343</v>
      </c>
    </row>
    <row r="2716" spans="1:10" s="1370" customFormat="1" ht="17.100000000000001" customHeight="1">
      <c r="A2716" s="1408"/>
      <c r="B2716" s="1429"/>
      <c r="C2716" s="3921" t="s">
        <v>694</v>
      </c>
      <c r="D2716" s="3922" t="s">
        <v>695</v>
      </c>
      <c r="E2716" s="3801">
        <v>66259</v>
      </c>
      <c r="F2716" s="3914">
        <v>62919</v>
      </c>
      <c r="G2716" s="3644">
        <v>71329</v>
      </c>
      <c r="H2716" s="3916">
        <f t="shared" si="191"/>
        <v>1.1336639170997631</v>
      </c>
    </row>
    <row r="2717" spans="1:10" s="1370" customFormat="1" ht="17.100000000000001" customHeight="1">
      <c r="A2717" s="1408"/>
      <c r="B2717" s="1429"/>
      <c r="C2717" s="3921" t="s">
        <v>696</v>
      </c>
      <c r="D2717" s="3922" t="s">
        <v>697</v>
      </c>
      <c r="E2717" s="3801">
        <v>172426</v>
      </c>
      <c r="F2717" s="3914">
        <v>172426</v>
      </c>
      <c r="G2717" s="3644">
        <v>196317</v>
      </c>
      <c r="H2717" s="3916">
        <f t="shared" si="191"/>
        <v>1.1385579900943013</v>
      </c>
    </row>
    <row r="2718" spans="1:10" s="1370" customFormat="1" ht="16.5" customHeight="1">
      <c r="A2718" s="1408"/>
      <c r="B2718" s="1429"/>
      <c r="C2718" s="3921" t="s">
        <v>698</v>
      </c>
      <c r="D2718" s="3922" t="s">
        <v>699</v>
      </c>
      <c r="E2718" s="3801">
        <v>15881</v>
      </c>
      <c r="F2718" s="3914">
        <v>15881</v>
      </c>
      <c r="G2718" s="3644">
        <v>16933</v>
      </c>
      <c r="H2718" s="3916">
        <f t="shared" si="191"/>
        <v>1.0662426799319942</v>
      </c>
    </row>
    <row r="2719" spans="1:10" s="1370" customFormat="1" ht="17.100000000000001" customHeight="1">
      <c r="A2719" s="1408"/>
      <c r="B2719" s="1429"/>
      <c r="C2719" s="3921" t="s">
        <v>700</v>
      </c>
      <c r="D2719" s="3922" t="s">
        <v>701</v>
      </c>
      <c r="E2719" s="3801">
        <v>11200</v>
      </c>
      <c r="F2719" s="3914">
        <v>12700</v>
      </c>
      <c r="G2719" s="3644">
        <v>16200</v>
      </c>
      <c r="H2719" s="3916">
        <f t="shared" si="191"/>
        <v>1.2755905511811023</v>
      </c>
    </row>
    <row r="2720" spans="1:10" s="1370" customFormat="1" ht="17.100000000000001" customHeight="1">
      <c r="A2720" s="1408"/>
      <c r="B2720" s="1429"/>
      <c r="C2720" s="3921" t="s">
        <v>702</v>
      </c>
      <c r="D2720" s="3922" t="s">
        <v>703</v>
      </c>
      <c r="E2720" s="3801">
        <v>3411</v>
      </c>
      <c r="F2720" s="3914">
        <v>3411</v>
      </c>
      <c r="G2720" s="3644">
        <v>3941</v>
      </c>
      <c r="H2720" s="3916">
        <f t="shared" si="191"/>
        <v>1.1553796540603929</v>
      </c>
    </row>
    <row r="2721" spans="1:8" s="1370" customFormat="1" ht="15.75" customHeight="1">
      <c r="A2721" s="1408"/>
      <c r="B2721" s="1429"/>
      <c r="C2721" s="1470"/>
      <c r="D2721" s="1470"/>
      <c r="E2721" s="1454"/>
      <c r="F2721" s="3914"/>
      <c r="G2721" s="3644"/>
      <c r="H2721" s="3916"/>
    </row>
    <row r="2722" spans="1:8" s="1370" customFormat="1" ht="17.100000000000001" customHeight="1">
      <c r="A2722" s="1408"/>
      <c r="B2722" s="1429"/>
      <c r="C2722" s="4389" t="s">
        <v>704</v>
      </c>
      <c r="D2722" s="4389"/>
      <c r="E2722" s="3923">
        <f>SUM(E2723:E2739)</f>
        <v>285801</v>
      </c>
      <c r="F2722" s="3918">
        <f>SUM(F2723:F2739)</f>
        <v>544903</v>
      </c>
      <c r="G2722" s="3924">
        <f>SUM(G2723:G2739)</f>
        <v>315528</v>
      </c>
      <c r="H2722" s="3920">
        <f t="shared" ref="H2722:H2739" si="192">G2722/F2722</f>
        <v>0.57905351961725293</v>
      </c>
    </row>
    <row r="2723" spans="1:8" s="1370" customFormat="1" ht="17.100000000000001" customHeight="1">
      <c r="A2723" s="1408"/>
      <c r="B2723" s="1429"/>
      <c r="C2723" s="3925" t="s">
        <v>810</v>
      </c>
      <c r="D2723" s="3926" t="s">
        <v>777</v>
      </c>
      <c r="E2723" s="3927">
        <v>11300</v>
      </c>
      <c r="F2723" s="3914">
        <v>13540</v>
      </c>
      <c r="G2723" s="3928">
        <v>16000</v>
      </c>
      <c r="H2723" s="3916">
        <f t="shared" si="192"/>
        <v>1.1816838995568686</v>
      </c>
    </row>
    <row r="2724" spans="1:8" s="1370" customFormat="1" ht="17.100000000000001" customHeight="1">
      <c r="A2724" s="1408"/>
      <c r="B2724" s="1429"/>
      <c r="C2724" s="2952" t="s">
        <v>707</v>
      </c>
      <c r="D2724" s="2953" t="s">
        <v>708</v>
      </c>
      <c r="E2724" s="3927">
        <v>55900</v>
      </c>
      <c r="F2724" s="3914">
        <v>119021</v>
      </c>
      <c r="G2724" s="3644">
        <v>61311</v>
      </c>
      <c r="H2724" s="3916">
        <f t="shared" si="192"/>
        <v>0.51512758252745317</v>
      </c>
    </row>
    <row r="2725" spans="1:8" s="1370" customFormat="1" ht="17.100000000000001" customHeight="1">
      <c r="A2725" s="1408"/>
      <c r="B2725" s="1429"/>
      <c r="C2725" s="3929" t="s">
        <v>709</v>
      </c>
      <c r="D2725" s="3930" t="s">
        <v>710</v>
      </c>
      <c r="E2725" s="3927">
        <v>7150</v>
      </c>
      <c r="F2725" s="3914">
        <v>10250</v>
      </c>
      <c r="G2725" s="3928">
        <v>9950</v>
      </c>
      <c r="H2725" s="3916">
        <f t="shared" si="192"/>
        <v>0.97073170731707314</v>
      </c>
    </row>
    <row r="2726" spans="1:8" s="1370" customFormat="1" ht="17.100000000000001" hidden="1" customHeight="1">
      <c r="A2726" s="1408"/>
      <c r="B2726" s="1429"/>
      <c r="C2726" s="3929" t="s">
        <v>942</v>
      </c>
      <c r="D2726" s="3930" t="s">
        <v>943</v>
      </c>
      <c r="E2726" s="3927">
        <v>0</v>
      </c>
      <c r="F2726" s="3914"/>
      <c r="G2726" s="3928"/>
      <c r="H2726" s="3916" t="e">
        <f t="shared" si="192"/>
        <v>#DIV/0!</v>
      </c>
    </row>
    <row r="2727" spans="1:8" s="1370" customFormat="1" ht="17.100000000000001" customHeight="1">
      <c r="A2727" s="1408"/>
      <c r="B2727" s="1429"/>
      <c r="C2727" s="3929" t="s">
        <v>711</v>
      </c>
      <c r="D2727" s="3930" t="s">
        <v>712</v>
      </c>
      <c r="E2727" s="3927">
        <v>46000</v>
      </c>
      <c r="F2727" s="3914">
        <v>86135</v>
      </c>
      <c r="G2727" s="3928">
        <v>48000</v>
      </c>
      <c r="H2727" s="3916">
        <f t="shared" si="192"/>
        <v>0.55726475880884663</v>
      </c>
    </row>
    <row r="2728" spans="1:8" s="1370" customFormat="1" ht="17.100000000000001" customHeight="1">
      <c r="A2728" s="1408"/>
      <c r="B2728" s="1429"/>
      <c r="C2728" s="3929" t="s">
        <v>713</v>
      </c>
      <c r="D2728" s="3930" t="s">
        <v>714</v>
      </c>
      <c r="E2728" s="3927">
        <v>3500</v>
      </c>
      <c r="F2728" s="3914">
        <v>2622</v>
      </c>
      <c r="G2728" s="3928">
        <v>3500</v>
      </c>
      <c r="H2728" s="3916">
        <f t="shared" si="192"/>
        <v>1.3348588863463005</v>
      </c>
    </row>
    <row r="2729" spans="1:8" s="1370" customFormat="1" ht="17.100000000000001" customHeight="1">
      <c r="A2729" s="1408"/>
      <c r="B2729" s="1429"/>
      <c r="C2729" s="3931" t="s">
        <v>715</v>
      </c>
      <c r="D2729" s="3932" t="s">
        <v>716</v>
      </c>
      <c r="E2729" s="3927">
        <v>1100</v>
      </c>
      <c r="F2729" s="3914">
        <v>3049</v>
      </c>
      <c r="G2729" s="3928">
        <v>1700</v>
      </c>
      <c r="H2729" s="3916">
        <f t="shared" si="192"/>
        <v>0.55755985569039024</v>
      </c>
    </row>
    <row r="2730" spans="1:8" s="1370" customFormat="1" ht="17.100000000000001" customHeight="1">
      <c r="A2730" s="1408"/>
      <c r="B2730" s="1429"/>
      <c r="C2730" s="2952" t="s">
        <v>717</v>
      </c>
      <c r="D2730" s="2953" t="s">
        <v>718</v>
      </c>
      <c r="E2730" s="3927">
        <v>48562</v>
      </c>
      <c r="F2730" s="3914">
        <v>193637</v>
      </c>
      <c r="G2730" s="3928">
        <v>57529</v>
      </c>
      <c r="H2730" s="3916">
        <f t="shared" si="192"/>
        <v>0.29709714569013151</v>
      </c>
    </row>
    <row r="2731" spans="1:8" s="1370" customFormat="1" ht="16.5" customHeight="1">
      <c r="A2731" s="1408"/>
      <c r="B2731" s="1429"/>
      <c r="C2731" s="3929" t="s">
        <v>719</v>
      </c>
      <c r="D2731" s="3930" t="s">
        <v>720</v>
      </c>
      <c r="E2731" s="3927">
        <v>3100</v>
      </c>
      <c r="F2731" s="3914">
        <v>3100</v>
      </c>
      <c r="G2731" s="3928">
        <v>3100</v>
      </c>
      <c r="H2731" s="3916">
        <f t="shared" si="192"/>
        <v>1</v>
      </c>
    </row>
    <row r="2732" spans="1:8" s="1370" customFormat="1" ht="16.5" hidden="1" customHeight="1">
      <c r="A2732" s="1408"/>
      <c r="B2732" s="1429"/>
      <c r="C2732" s="3929" t="s">
        <v>721</v>
      </c>
      <c r="D2732" s="3930" t="s">
        <v>722</v>
      </c>
      <c r="E2732" s="3927">
        <v>0</v>
      </c>
      <c r="F2732" s="3914"/>
      <c r="G2732" s="3928"/>
      <c r="H2732" s="3916" t="e">
        <f t="shared" si="192"/>
        <v>#DIV/0!</v>
      </c>
    </row>
    <row r="2733" spans="1:8" s="1370" customFormat="1" ht="29.25" customHeight="1">
      <c r="A2733" s="1408"/>
      <c r="B2733" s="1429"/>
      <c r="C2733" s="3929" t="s">
        <v>723</v>
      </c>
      <c r="D2733" s="3930" t="s">
        <v>724</v>
      </c>
      <c r="E2733" s="3927">
        <v>64980</v>
      </c>
      <c r="F2733" s="3914">
        <v>64980</v>
      </c>
      <c r="G2733" s="3928">
        <v>68290</v>
      </c>
      <c r="H2733" s="3916">
        <f t="shared" si="192"/>
        <v>1.0509387503847338</v>
      </c>
    </row>
    <row r="2734" spans="1:8" s="1370" customFormat="1" ht="17.100000000000001" customHeight="1">
      <c r="A2734" s="1408"/>
      <c r="B2734" s="1429"/>
      <c r="C2734" s="3929" t="s">
        <v>725</v>
      </c>
      <c r="D2734" s="3930" t="s">
        <v>726</v>
      </c>
      <c r="E2734" s="3927">
        <v>1100</v>
      </c>
      <c r="F2734" s="3914">
        <v>2590</v>
      </c>
      <c r="G2734" s="3928">
        <v>1200</v>
      </c>
      <c r="H2734" s="3916">
        <f t="shared" si="192"/>
        <v>0.46332046332046334</v>
      </c>
    </row>
    <row r="2735" spans="1:8" s="1370" customFormat="1" ht="17.100000000000001" customHeight="1">
      <c r="A2735" s="1408"/>
      <c r="B2735" s="1429"/>
      <c r="C2735" s="3929" t="s">
        <v>865</v>
      </c>
      <c r="D2735" s="3930" t="s">
        <v>866</v>
      </c>
      <c r="E2735" s="3927">
        <v>300</v>
      </c>
      <c r="F2735" s="3914">
        <v>300</v>
      </c>
      <c r="G2735" s="3928">
        <v>0</v>
      </c>
      <c r="H2735" s="3916">
        <f t="shared" si="192"/>
        <v>0</v>
      </c>
    </row>
    <row r="2736" spans="1:8" s="1370" customFormat="1" ht="17.100000000000001" customHeight="1">
      <c r="A2736" s="1408"/>
      <c r="B2736" s="1429"/>
      <c r="C2736" s="3929" t="s">
        <v>727</v>
      </c>
      <c r="D2736" s="3930" t="s">
        <v>728</v>
      </c>
      <c r="E2736" s="3927">
        <v>6600</v>
      </c>
      <c r="F2736" s="3914">
        <v>6600</v>
      </c>
      <c r="G2736" s="3928">
        <v>7629</v>
      </c>
      <c r="H2736" s="3916">
        <f t="shared" si="192"/>
        <v>1.155909090909091</v>
      </c>
    </row>
    <row r="2737" spans="1:10" s="1370" customFormat="1" ht="17.100000000000001" customHeight="1">
      <c r="A2737" s="1429"/>
      <c r="B2737" s="1429"/>
      <c r="C2737" s="3931" t="s">
        <v>729</v>
      </c>
      <c r="D2737" s="3932" t="s">
        <v>730</v>
      </c>
      <c r="E2737" s="3927">
        <v>28035</v>
      </c>
      <c r="F2737" s="3914">
        <v>30905</v>
      </c>
      <c r="G2737" s="3928">
        <v>29242</v>
      </c>
      <c r="H2737" s="3916">
        <f t="shared" si="192"/>
        <v>0.94618993690341369</v>
      </c>
    </row>
    <row r="2738" spans="1:10" s="1370" customFormat="1" ht="17.100000000000001" customHeight="1">
      <c r="A2738" s="1408"/>
      <c r="B2738" s="1429"/>
      <c r="C2738" s="2952" t="s">
        <v>731</v>
      </c>
      <c r="D2738" s="2953" t="s">
        <v>732</v>
      </c>
      <c r="E2738" s="2954">
        <v>2674</v>
      </c>
      <c r="F2738" s="1451">
        <v>2674</v>
      </c>
      <c r="G2738" s="2617">
        <v>2877</v>
      </c>
      <c r="H2738" s="1453">
        <f t="shared" si="192"/>
        <v>1.0759162303664922</v>
      </c>
    </row>
    <row r="2739" spans="1:10" s="1370" customFormat="1" ht="18" customHeight="1">
      <c r="A2739" s="1408"/>
      <c r="B2739" s="1429"/>
      <c r="C2739" s="3929" t="s">
        <v>739</v>
      </c>
      <c r="D2739" s="3930" t="s">
        <v>740</v>
      </c>
      <c r="E2739" s="3927">
        <v>5500</v>
      </c>
      <c r="F2739" s="3914">
        <v>5500</v>
      </c>
      <c r="G2739" s="3928">
        <v>5200</v>
      </c>
      <c r="H2739" s="3916">
        <f t="shared" si="192"/>
        <v>0.94545454545454544</v>
      </c>
    </row>
    <row r="2740" spans="1:10" s="1370" customFormat="1" ht="14.25" customHeight="1">
      <c r="A2740" s="1408"/>
      <c r="B2740" s="1429"/>
      <c r="C2740" s="2671"/>
      <c r="D2740" s="3043"/>
      <c r="E2740" s="2671"/>
      <c r="F2740" s="3914"/>
      <c r="G2740" s="3928"/>
      <c r="H2740" s="3916"/>
    </row>
    <row r="2741" spans="1:10" s="1370" customFormat="1" ht="17.100000000000001" customHeight="1">
      <c r="A2741" s="1408"/>
      <c r="B2741" s="1429"/>
      <c r="C2741" s="4390" t="s">
        <v>741</v>
      </c>
      <c r="D2741" s="4390"/>
      <c r="E2741" s="1457">
        <f>SUM(E2742)</f>
        <v>70180</v>
      </c>
      <c r="F2741" s="2095">
        <f>SUM(F2742:F2743)</f>
        <v>71680</v>
      </c>
      <c r="G2741" s="2095">
        <f>SUM(G2742:G2743)</f>
        <v>51569</v>
      </c>
      <c r="H2741" s="3916">
        <f t="shared" ref="H2741:H2757" si="193">G2741/F2741</f>
        <v>0.71943359375000004</v>
      </c>
    </row>
    <row r="2742" spans="1:10" s="1370" customFormat="1" ht="18" customHeight="1">
      <c r="A2742" s="1429"/>
      <c r="B2742" s="1429"/>
      <c r="C2742" s="3933" t="s">
        <v>742</v>
      </c>
      <c r="D2742" s="3934" t="s">
        <v>743</v>
      </c>
      <c r="E2742" s="3927">
        <v>70180</v>
      </c>
      <c r="F2742" s="3914">
        <v>70180</v>
      </c>
      <c r="G2742" s="3928">
        <v>51569</v>
      </c>
      <c r="H2742" s="3916">
        <f t="shared" si="193"/>
        <v>0.73481048731832432</v>
      </c>
    </row>
    <row r="2743" spans="1:10" s="1370" customFormat="1" ht="18" customHeight="1" thickBot="1">
      <c r="A2743" s="1516"/>
      <c r="B2743" s="1591"/>
      <c r="C2743" s="3935" t="s">
        <v>984</v>
      </c>
      <c r="D2743" s="3936" t="s">
        <v>993</v>
      </c>
      <c r="E2743" s="1520">
        <v>0</v>
      </c>
      <c r="F2743" s="1521">
        <v>1500</v>
      </c>
      <c r="G2743" s="1522">
        <v>0</v>
      </c>
      <c r="H2743" s="1523">
        <f t="shared" si="193"/>
        <v>0</v>
      </c>
    </row>
    <row r="2744" spans="1:10" s="1370" customFormat="1" ht="18" hidden="1" customHeight="1">
      <c r="A2744" s="1408"/>
      <c r="B2744" s="1429"/>
      <c r="C2744" s="4391"/>
      <c r="D2744" s="4392"/>
      <c r="E2744" s="2954"/>
      <c r="F2744" s="1451"/>
      <c r="G2744" s="2617"/>
      <c r="H2744" s="1453" t="e">
        <f t="shared" si="193"/>
        <v>#DIV/0!</v>
      </c>
    </row>
    <row r="2745" spans="1:10" s="1370" customFormat="1" ht="18" hidden="1" customHeight="1">
      <c r="A2745" s="1408"/>
      <c r="B2745" s="1429"/>
      <c r="C2745" s="4393" t="s">
        <v>761</v>
      </c>
      <c r="D2745" s="4394"/>
      <c r="E2745" s="3927">
        <v>0</v>
      </c>
      <c r="F2745" s="3914"/>
      <c r="G2745" s="3928"/>
      <c r="H2745" s="3916" t="e">
        <f t="shared" si="193"/>
        <v>#DIV/0!</v>
      </c>
    </row>
    <row r="2746" spans="1:10" s="1370" customFormat="1" ht="18" hidden="1" customHeight="1">
      <c r="A2746" s="1408"/>
      <c r="B2746" s="1429"/>
      <c r="C2746" s="3937" t="s">
        <v>717</v>
      </c>
      <c r="D2746" s="3938" t="s">
        <v>718</v>
      </c>
      <c r="E2746" s="3927">
        <v>0</v>
      </c>
      <c r="F2746" s="3914"/>
      <c r="G2746" s="3928"/>
      <c r="H2746" s="3916" t="e">
        <f t="shared" si="193"/>
        <v>#DIV/0!</v>
      </c>
    </row>
    <row r="2747" spans="1:10" s="1370" customFormat="1" ht="18" hidden="1" customHeight="1">
      <c r="A2747" s="1408"/>
      <c r="B2747" s="1429"/>
      <c r="C2747" s="3933" t="s">
        <v>833</v>
      </c>
      <c r="D2747" s="3934" t="s">
        <v>718</v>
      </c>
      <c r="E2747" s="3927">
        <v>0</v>
      </c>
      <c r="F2747" s="3914"/>
      <c r="G2747" s="3928"/>
      <c r="H2747" s="3916" t="e">
        <f t="shared" si="193"/>
        <v>#DIV/0!</v>
      </c>
    </row>
    <row r="2748" spans="1:10" s="1370" customFormat="1" ht="18" hidden="1" customHeight="1" thickBot="1">
      <c r="A2748" s="1408"/>
      <c r="B2748" s="1429"/>
      <c r="C2748" s="1478" t="s">
        <v>784</v>
      </c>
      <c r="D2748" s="1479" t="s">
        <v>718</v>
      </c>
      <c r="E2748" s="3939">
        <v>0</v>
      </c>
      <c r="F2748" s="3940"/>
      <c r="G2748" s="3941"/>
      <c r="H2748" s="3942" t="e">
        <f t="shared" si="193"/>
        <v>#DIV/0!</v>
      </c>
    </row>
    <row r="2749" spans="1:10" s="1370" customFormat="1" ht="17.100000000000001" customHeight="1" thickBot="1">
      <c r="A2749" s="3943"/>
      <c r="B2749" s="1500" t="s">
        <v>1322</v>
      </c>
      <c r="C2749" s="1501"/>
      <c r="D2749" s="1502" t="s">
        <v>312</v>
      </c>
      <c r="E2749" s="1503">
        <f>SUM(E2750)</f>
        <v>22000</v>
      </c>
      <c r="F2749" s="1504">
        <f>SUM(F2750)</f>
        <v>27000</v>
      </c>
      <c r="G2749" s="1505">
        <f>SUM(G2750)</f>
        <v>34000</v>
      </c>
      <c r="H2749" s="1506">
        <f t="shared" si="193"/>
        <v>1.2592592592592593</v>
      </c>
      <c r="J2749" s="1370" t="s">
        <v>1270</v>
      </c>
    </row>
    <row r="2750" spans="1:10" s="1370" customFormat="1" ht="17.100000000000001" customHeight="1">
      <c r="A2750" s="1408"/>
      <c r="B2750" s="1429"/>
      <c r="C2750" s="4358" t="s">
        <v>688</v>
      </c>
      <c r="D2750" s="4358"/>
      <c r="E2750" s="2946">
        <f>SUM(E2751,E2759)</f>
        <v>22000</v>
      </c>
      <c r="F2750" s="1418">
        <f>SUM(F2751,F2759)</f>
        <v>27000</v>
      </c>
      <c r="G2750" s="2947">
        <f>SUM(G2751,G2759)</f>
        <v>34000</v>
      </c>
      <c r="H2750" s="1509">
        <f t="shared" si="193"/>
        <v>1.2592592592592593</v>
      </c>
    </row>
    <row r="2751" spans="1:10" s="1370" customFormat="1" ht="17.100000000000001" customHeight="1">
      <c r="A2751" s="1408"/>
      <c r="B2751" s="1429"/>
      <c r="C2751" s="4384" t="s">
        <v>689</v>
      </c>
      <c r="D2751" s="4384"/>
      <c r="E2751" s="3927">
        <f>SUM(E2755)</f>
        <v>15000</v>
      </c>
      <c r="F2751" s="3914">
        <f>SUM(F2755)</f>
        <v>20000</v>
      </c>
      <c r="G2751" s="3944">
        <f>SUM(G2755)</f>
        <v>27000</v>
      </c>
      <c r="H2751" s="3916">
        <f t="shared" si="193"/>
        <v>1.35</v>
      </c>
    </row>
    <row r="2752" spans="1:10" s="1370" customFormat="1" ht="17.100000000000001" hidden="1" customHeight="1">
      <c r="A2752" s="1408"/>
      <c r="B2752" s="1429"/>
      <c r="C2752" s="4385" t="s">
        <v>690</v>
      </c>
      <c r="D2752" s="4385"/>
      <c r="E2752" s="3927">
        <v>0</v>
      </c>
      <c r="F2752" s="3914">
        <v>0</v>
      </c>
      <c r="G2752" s="3944">
        <v>0</v>
      </c>
      <c r="H2752" s="3916" t="e">
        <f t="shared" si="193"/>
        <v>#DIV/0!</v>
      </c>
    </row>
    <row r="2753" spans="1:8" s="1370" customFormat="1" ht="17.100000000000001" hidden="1" customHeight="1">
      <c r="A2753" s="1408"/>
      <c r="B2753" s="1429"/>
      <c r="C2753" s="3921" t="s">
        <v>700</v>
      </c>
      <c r="D2753" s="3930" t="s">
        <v>701</v>
      </c>
      <c r="E2753" s="3927">
        <v>0</v>
      </c>
      <c r="F2753" s="3914">
        <v>0</v>
      </c>
      <c r="G2753" s="3944">
        <v>0</v>
      </c>
      <c r="H2753" s="3916" t="e">
        <f t="shared" si="193"/>
        <v>#DIV/0!</v>
      </c>
    </row>
    <row r="2754" spans="1:8" s="1370" customFormat="1" ht="17.100000000000001" hidden="1" customHeight="1">
      <c r="A2754" s="1408"/>
      <c r="B2754" s="1429"/>
      <c r="C2754" s="3945"/>
      <c r="D2754" s="3945"/>
      <c r="E2754" s="3927"/>
      <c r="F2754" s="3914"/>
      <c r="G2754" s="3944"/>
      <c r="H2754" s="3916" t="e">
        <f t="shared" si="193"/>
        <v>#DIV/0!</v>
      </c>
    </row>
    <row r="2755" spans="1:8" s="1370" customFormat="1" ht="17.100000000000001" customHeight="1">
      <c r="A2755" s="1408"/>
      <c r="B2755" s="1429"/>
      <c r="C2755" s="4386" t="s">
        <v>704</v>
      </c>
      <c r="D2755" s="4386"/>
      <c r="E2755" s="3923">
        <f>SUM(E2757)</f>
        <v>15000</v>
      </c>
      <c r="F2755" s="3918">
        <f>SUM(F2757)</f>
        <v>20000</v>
      </c>
      <c r="G2755" s="3924">
        <f>SUM(G2757)</f>
        <v>27000</v>
      </c>
      <c r="H2755" s="3920">
        <f t="shared" si="193"/>
        <v>1.35</v>
      </c>
    </row>
    <row r="2756" spans="1:8" s="1370" customFormat="1" ht="17.100000000000001" hidden="1" customHeight="1">
      <c r="A2756" s="1408"/>
      <c r="B2756" s="1429"/>
      <c r="C2756" s="3946" t="s">
        <v>707</v>
      </c>
      <c r="D2756" s="3947" t="s">
        <v>708</v>
      </c>
      <c r="E2756" s="3927">
        <v>0</v>
      </c>
      <c r="F2756" s="3914"/>
      <c r="G2756" s="3928"/>
      <c r="H2756" s="3916" t="e">
        <f t="shared" si="193"/>
        <v>#DIV/0!</v>
      </c>
    </row>
    <row r="2757" spans="1:8" s="1370" customFormat="1" ht="17.100000000000001" customHeight="1">
      <c r="A2757" s="1408"/>
      <c r="B2757" s="1429"/>
      <c r="C2757" s="3948" t="s">
        <v>717</v>
      </c>
      <c r="D2757" s="3949" t="s">
        <v>718</v>
      </c>
      <c r="E2757" s="3927">
        <v>15000</v>
      </c>
      <c r="F2757" s="3914">
        <v>20000</v>
      </c>
      <c r="G2757" s="3928">
        <v>27000</v>
      </c>
      <c r="H2757" s="3916">
        <f t="shared" si="193"/>
        <v>1.35</v>
      </c>
    </row>
    <row r="2758" spans="1:8" s="1370" customFormat="1" ht="17.100000000000001" customHeight="1">
      <c r="A2758" s="1408"/>
      <c r="B2758" s="1429"/>
      <c r="C2758" s="3950"/>
      <c r="D2758" s="3949"/>
      <c r="E2758" s="3939"/>
      <c r="F2758" s="3914"/>
      <c r="G2758" s="3928"/>
      <c r="H2758" s="3916"/>
    </row>
    <row r="2759" spans="1:8" s="1370" customFormat="1" ht="17.100000000000001" customHeight="1">
      <c r="A2759" s="1408"/>
      <c r="B2759" s="1429"/>
      <c r="C2759" s="4387" t="s">
        <v>797</v>
      </c>
      <c r="D2759" s="4388"/>
      <c r="E2759" s="3927">
        <f>SUM(E2760)</f>
        <v>7000</v>
      </c>
      <c r="F2759" s="3914">
        <f>SUM(F2760)</f>
        <v>7000</v>
      </c>
      <c r="G2759" s="3944">
        <f>SUM(G2760)</f>
        <v>7000</v>
      </c>
      <c r="H2759" s="3916">
        <f t="shared" ref="H2759:H2778" si="194">G2759/F2759</f>
        <v>1</v>
      </c>
    </row>
    <row r="2760" spans="1:8" s="1370" customFormat="1" ht="56.25" customHeight="1" thickBot="1">
      <c r="A2760" s="1516"/>
      <c r="B2760" s="1591"/>
      <c r="C2760" s="3951" t="s">
        <v>374</v>
      </c>
      <c r="D2760" s="3952" t="s">
        <v>817</v>
      </c>
      <c r="E2760" s="3698">
        <v>7000</v>
      </c>
      <c r="F2760" s="1538">
        <v>7000</v>
      </c>
      <c r="G2760" s="3810">
        <v>7000</v>
      </c>
      <c r="H2760" s="1540">
        <f t="shared" si="194"/>
        <v>1</v>
      </c>
    </row>
    <row r="2761" spans="1:8" ht="17.100000000000001" customHeight="1" thickBot="1">
      <c r="A2761" s="1595" t="s">
        <v>1323</v>
      </c>
      <c r="B2761" s="1596"/>
      <c r="C2761" s="1597"/>
      <c r="D2761" s="1598" t="s">
        <v>1324</v>
      </c>
      <c r="E2761" s="1599">
        <f>SUM(E2762,E2773,E2797)</f>
        <v>20800400</v>
      </c>
      <c r="F2761" s="1600">
        <f>SUM(F2762,F2773,F2797)</f>
        <v>20990400</v>
      </c>
      <c r="G2761" s="1601">
        <f>SUM(G2762,G2773,G2797)</f>
        <v>6342665</v>
      </c>
      <c r="H2761" s="3953">
        <f t="shared" si="194"/>
        <v>0.30216980143303607</v>
      </c>
    </row>
    <row r="2762" spans="1:8" ht="17.100000000000001" customHeight="1" thickBot="1">
      <c r="A2762" s="3954"/>
      <c r="B2762" s="1500" t="s">
        <v>1325</v>
      </c>
      <c r="C2762" s="1501"/>
      <c r="D2762" s="1502" t="s">
        <v>1326</v>
      </c>
      <c r="E2762" s="1803">
        <f>SUM(E2766)</f>
        <v>15000000</v>
      </c>
      <c r="F2762" s="1804">
        <f>SUM(F2766)</f>
        <v>15060000</v>
      </c>
      <c r="G2762" s="1805">
        <f>SUM(G2766)</f>
        <v>0</v>
      </c>
      <c r="H2762" s="1506">
        <f t="shared" si="194"/>
        <v>0</v>
      </c>
    </row>
    <row r="2763" spans="1:8" ht="17.100000000000001" hidden="1" customHeight="1" thickBot="1">
      <c r="A2763" s="1556"/>
      <c r="B2763" s="4357"/>
      <c r="C2763" s="4358" t="s">
        <v>688</v>
      </c>
      <c r="D2763" s="4358"/>
      <c r="E2763" s="2946">
        <v>0</v>
      </c>
      <c r="F2763" s="1418">
        <v>0</v>
      </c>
      <c r="G2763" s="2947">
        <v>0</v>
      </c>
      <c r="H2763" s="1453" t="e">
        <f t="shared" si="194"/>
        <v>#DIV/0!</v>
      </c>
    </row>
    <row r="2764" spans="1:8" ht="17.100000000000001" hidden="1" customHeight="1">
      <c r="A2764" s="1556"/>
      <c r="B2764" s="4357"/>
      <c r="C2764" s="4384" t="s">
        <v>797</v>
      </c>
      <c r="D2764" s="4384"/>
      <c r="E2764" s="3927">
        <v>0</v>
      </c>
      <c r="F2764" s="3914">
        <v>0</v>
      </c>
      <c r="G2764" s="3944">
        <v>0</v>
      </c>
      <c r="H2764" s="3916" t="e">
        <f t="shared" si="194"/>
        <v>#DIV/0!</v>
      </c>
    </row>
    <row r="2765" spans="1:8" ht="34.5" hidden="1" customHeight="1">
      <c r="A2765" s="1556"/>
      <c r="B2765" s="1469"/>
      <c r="C2765" s="3921" t="s">
        <v>353</v>
      </c>
      <c r="D2765" s="3930" t="s">
        <v>932</v>
      </c>
      <c r="E2765" s="3927">
        <v>0</v>
      </c>
      <c r="F2765" s="3914">
        <v>0</v>
      </c>
      <c r="G2765" s="3944">
        <v>0</v>
      </c>
      <c r="H2765" s="3916" t="e">
        <f t="shared" si="194"/>
        <v>#DIV/0!</v>
      </c>
    </row>
    <row r="2766" spans="1:8" ht="17.100000000000001" customHeight="1">
      <c r="A2766" s="3954"/>
      <c r="B2766" s="1429"/>
      <c r="C2766" s="4358" t="s">
        <v>744</v>
      </c>
      <c r="D2766" s="4360"/>
      <c r="E2766" s="3625">
        <f t="shared" ref="E2766:G2767" si="195">SUM(E2767)</f>
        <v>15000000</v>
      </c>
      <c r="F2766" s="3626">
        <f t="shared" si="195"/>
        <v>15060000</v>
      </c>
      <c r="G2766" s="3627">
        <f t="shared" si="195"/>
        <v>0</v>
      </c>
      <c r="H2766" s="3916">
        <f t="shared" si="194"/>
        <v>0</v>
      </c>
    </row>
    <row r="2767" spans="1:8" ht="17.100000000000001" customHeight="1">
      <c r="A2767" s="3954"/>
      <c r="B2767" s="1429"/>
      <c r="C2767" s="4361" t="s">
        <v>745</v>
      </c>
      <c r="D2767" s="4375"/>
      <c r="E2767" s="3955">
        <f t="shared" si="195"/>
        <v>15000000</v>
      </c>
      <c r="F2767" s="3956">
        <f t="shared" si="195"/>
        <v>15060000</v>
      </c>
      <c r="G2767" s="3957">
        <f t="shared" si="195"/>
        <v>0</v>
      </c>
      <c r="H2767" s="3916">
        <f t="shared" si="194"/>
        <v>0</v>
      </c>
    </row>
    <row r="2768" spans="1:8" ht="45.75" customHeight="1" thickBot="1">
      <c r="A2768" s="3954"/>
      <c r="B2768" s="1429"/>
      <c r="C2768" s="3958" t="s">
        <v>880</v>
      </c>
      <c r="D2768" s="2953" t="s">
        <v>881</v>
      </c>
      <c r="E2768" s="3959">
        <v>15000000</v>
      </c>
      <c r="F2768" s="3914">
        <v>15060000</v>
      </c>
      <c r="G2768" s="3928">
        <v>0</v>
      </c>
      <c r="H2768" s="3916">
        <f t="shared" si="194"/>
        <v>0</v>
      </c>
    </row>
    <row r="2769" spans="1:8" ht="17.100000000000001" hidden="1" customHeight="1" thickBot="1">
      <c r="A2769" s="3954"/>
      <c r="B2769" s="2496" t="s">
        <v>1327</v>
      </c>
      <c r="C2769" s="2497"/>
      <c r="D2769" s="2498" t="s">
        <v>1328</v>
      </c>
      <c r="E2769" s="3258">
        <v>0</v>
      </c>
      <c r="F2769" s="3960"/>
      <c r="G2769" s="3961"/>
      <c r="H2769" s="3962" t="e">
        <f t="shared" si="194"/>
        <v>#DIV/0!</v>
      </c>
    </row>
    <row r="2770" spans="1:8" ht="17.100000000000001" hidden="1" customHeight="1" thickBot="1">
      <c r="A2770" s="3954"/>
      <c r="B2770" s="1750"/>
      <c r="C2770" s="4376" t="s">
        <v>744</v>
      </c>
      <c r="D2770" s="4377"/>
      <c r="E2770" s="3963">
        <v>0</v>
      </c>
      <c r="F2770" s="3960"/>
      <c r="G2770" s="3961"/>
      <c r="H2770" s="3962" t="e">
        <f t="shared" si="194"/>
        <v>#DIV/0!</v>
      </c>
    </row>
    <row r="2771" spans="1:8" ht="17.100000000000001" hidden="1" customHeight="1" thickBot="1">
      <c r="A2771" s="3954"/>
      <c r="B2771" s="1750"/>
      <c r="C2771" s="4378" t="s">
        <v>745</v>
      </c>
      <c r="D2771" s="4379"/>
      <c r="E2771" s="3964">
        <v>0</v>
      </c>
      <c r="F2771" s="3960"/>
      <c r="G2771" s="3961"/>
      <c r="H2771" s="3962" t="e">
        <f t="shared" si="194"/>
        <v>#DIV/0!</v>
      </c>
    </row>
    <row r="2772" spans="1:8" ht="40.5" hidden="1" customHeight="1" thickBot="1">
      <c r="A2772" s="3954"/>
      <c r="B2772" s="1750"/>
      <c r="C2772" s="3965" t="s">
        <v>880</v>
      </c>
      <c r="D2772" s="3026" t="s">
        <v>881</v>
      </c>
      <c r="E2772" s="3966">
        <v>0</v>
      </c>
      <c r="F2772" s="3960"/>
      <c r="G2772" s="3961"/>
      <c r="H2772" s="3967" t="e">
        <f t="shared" si="194"/>
        <v>#DIV/0!</v>
      </c>
    </row>
    <row r="2773" spans="1:8" ht="17.100000000000001" customHeight="1" thickBot="1">
      <c r="A2773" s="3968"/>
      <c r="B2773" s="1500" t="s">
        <v>1329</v>
      </c>
      <c r="C2773" s="3969"/>
      <c r="D2773" s="3970" t="s">
        <v>1328</v>
      </c>
      <c r="E2773" s="1503">
        <f>SUM(E2774,E2793)</f>
        <v>5800400</v>
      </c>
      <c r="F2773" s="1504">
        <f>SUM(F2774,F2793)</f>
        <v>5846400</v>
      </c>
      <c r="G2773" s="1505">
        <f>SUM(G2774,G2793)</f>
        <v>6342665</v>
      </c>
      <c r="H2773" s="1506">
        <f t="shared" si="194"/>
        <v>1.0848838601532567</v>
      </c>
    </row>
    <row r="2774" spans="1:8" ht="17.100000000000001" customHeight="1">
      <c r="A2774" s="3968"/>
      <c r="B2774" s="3971"/>
      <c r="C2774" s="4380" t="s">
        <v>688</v>
      </c>
      <c r="D2774" s="4381"/>
      <c r="E2774" s="2946">
        <f>SUM(E2775,E2784,E2789)</f>
        <v>5800400</v>
      </c>
      <c r="F2774" s="1418">
        <f>SUM(F2775,F2784,F2789)</f>
        <v>5124400</v>
      </c>
      <c r="G2774" s="2947">
        <f>SUM(G2775,G2784,G2789)</f>
        <v>6092665</v>
      </c>
      <c r="H2774" s="1509">
        <f t="shared" si="194"/>
        <v>1.1889518772929513</v>
      </c>
    </row>
    <row r="2775" spans="1:8" ht="17.100000000000001" customHeight="1">
      <c r="A2775" s="3968"/>
      <c r="B2775" s="3266"/>
      <c r="C2775" s="4382" t="s">
        <v>689</v>
      </c>
      <c r="D2775" s="4383"/>
      <c r="E2775" s="3671">
        <f>SUM(E2776,E2780)</f>
        <v>101187</v>
      </c>
      <c r="F2775" s="3658">
        <f>SUM(F2776,F2780)</f>
        <v>135307</v>
      </c>
      <c r="G2775" s="3672">
        <f>SUM(G2776,G2780)</f>
        <v>216365</v>
      </c>
      <c r="H2775" s="3660">
        <f t="shared" si="194"/>
        <v>1.5990673061999749</v>
      </c>
    </row>
    <row r="2776" spans="1:8" ht="17.100000000000001" customHeight="1">
      <c r="A2776" s="3968"/>
      <c r="B2776" s="3266"/>
      <c r="C2776" s="4363" t="s">
        <v>690</v>
      </c>
      <c r="D2776" s="4364"/>
      <c r="E2776" s="3673">
        <f>SUM(E2777:E2778)</f>
        <v>10815</v>
      </c>
      <c r="F2776" s="3674">
        <f>SUM(F2777:F2778)</f>
        <v>10815</v>
      </c>
      <c r="G2776" s="3675">
        <f>SUM(G2777:G2778)</f>
        <v>12437</v>
      </c>
      <c r="H2776" s="3676">
        <f t="shared" si="194"/>
        <v>1.1499768839574664</v>
      </c>
    </row>
    <row r="2777" spans="1:8" ht="17.100000000000001" customHeight="1">
      <c r="A2777" s="3968"/>
      <c r="B2777" s="3266"/>
      <c r="C2777" s="3679" t="s">
        <v>696</v>
      </c>
      <c r="D2777" s="3680" t="s">
        <v>697</v>
      </c>
      <c r="E2777" s="3671">
        <v>9085</v>
      </c>
      <c r="F2777" s="3658">
        <v>9085</v>
      </c>
      <c r="G2777" s="3659">
        <v>10447</v>
      </c>
      <c r="H2777" s="3660">
        <f t="shared" si="194"/>
        <v>1.1499174463401212</v>
      </c>
    </row>
    <row r="2778" spans="1:8" ht="16.5" customHeight="1">
      <c r="A2778" s="3968"/>
      <c r="B2778" s="3266"/>
      <c r="C2778" s="3679" t="s">
        <v>698</v>
      </c>
      <c r="D2778" s="3680" t="s">
        <v>699</v>
      </c>
      <c r="E2778" s="3671">
        <v>1730</v>
      </c>
      <c r="F2778" s="3658">
        <v>1730</v>
      </c>
      <c r="G2778" s="3659">
        <v>1990</v>
      </c>
      <c r="H2778" s="3660">
        <f t="shared" si="194"/>
        <v>1.1502890173410405</v>
      </c>
    </row>
    <row r="2779" spans="1:8" ht="17.100000000000001" customHeight="1">
      <c r="A2779" s="3968"/>
      <c r="B2779" s="3266"/>
      <c r="C2779" s="2671"/>
      <c r="D2779" s="3043"/>
      <c r="E2779" s="2671"/>
      <c r="F2779" s="3658"/>
      <c r="G2779" s="3659"/>
      <c r="H2779" s="3660"/>
    </row>
    <row r="2780" spans="1:8" ht="17.100000000000001" customHeight="1">
      <c r="A2780" s="3968"/>
      <c r="B2780" s="3266"/>
      <c r="C2780" s="4365" t="s">
        <v>704</v>
      </c>
      <c r="D2780" s="4366"/>
      <c r="E2780" s="2950">
        <f>SUM(E2781:E2782)</f>
        <v>90372</v>
      </c>
      <c r="F2780" s="1578">
        <f>SUM(F2781:F2782)</f>
        <v>124492</v>
      </c>
      <c r="G2780" s="2951">
        <f>SUM(G2781:G2782)</f>
        <v>203928</v>
      </c>
      <c r="H2780" s="3676">
        <f>G2780/F2780</f>
        <v>1.6380811618417248</v>
      </c>
    </row>
    <row r="2781" spans="1:8" ht="17.100000000000001" customHeight="1">
      <c r="A2781" s="3968"/>
      <c r="B2781" s="3266"/>
      <c r="C2781" s="3679" t="s">
        <v>707</v>
      </c>
      <c r="D2781" s="3680" t="s">
        <v>708</v>
      </c>
      <c r="E2781" s="3671">
        <v>28366</v>
      </c>
      <c r="F2781" s="3658">
        <v>28366</v>
      </c>
      <c r="G2781" s="3659">
        <v>82621</v>
      </c>
      <c r="H2781" s="3660">
        <f>G2781/F2781</f>
        <v>2.9126771486991467</v>
      </c>
    </row>
    <row r="2782" spans="1:8" ht="17.100000000000001" customHeight="1">
      <c r="A2782" s="3968"/>
      <c r="B2782" s="3266"/>
      <c r="C2782" s="3663" t="s">
        <v>717</v>
      </c>
      <c r="D2782" s="3664" t="s">
        <v>718</v>
      </c>
      <c r="E2782" s="3671">
        <v>62006</v>
      </c>
      <c r="F2782" s="3658">
        <v>96126</v>
      </c>
      <c r="G2782" s="3659">
        <v>121307</v>
      </c>
      <c r="H2782" s="3660">
        <f>G2782/F2782</f>
        <v>1.2619582631129975</v>
      </c>
    </row>
    <row r="2783" spans="1:8" ht="17.100000000000001" customHeight="1">
      <c r="A2783" s="3972"/>
      <c r="B2783" s="3266"/>
      <c r="C2783" s="3973"/>
      <c r="D2783" s="3974"/>
      <c r="E2783" s="3973"/>
      <c r="F2783" s="3975"/>
      <c r="G2783" s="3976"/>
      <c r="H2783" s="3977"/>
    </row>
    <row r="2784" spans="1:8" ht="17.100000000000001" customHeight="1">
      <c r="A2784" s="3968"/>
      <c r="B2784" s="3266"/>
      <c r="C2784" s="4367" t="s">
        <v>1330</v>
      </c>
      <c r="D2784" s="4368"/>
      <c r="E2784" s="2954">
        <f>SUM(E2785:E2787)</f>
        <v>4611871</v>
      </c>
      <c r="F2784" s="1451">
        <f>SUM(F2785:F2787)</f>
        <v>3901751</v>
      </c>
      <c r="G2784" s="2983">
        <f>SUM(G2785:G2787)</f>
        <v>4625857</v>
      </c>
      <c r="H2784" s="1453">
        <f>G2784/F2784</f>
        <v>1.1855848822746506</v>
      </c>
    </row>
    <row r="2785" spans="1:8" ht="54" customHeight="1">
      <c r="A2785" s="3968"/>
      <c r="B2785" s="3266"/>
      <c r="C2785" s="3679" t="s">
        <v>374</v>
      </c>
      <c r="D2785" s="3680" t="s">
        <v>817</v>
      </c>
      <c r="E2785" s="3671">
        <v>900000</v>
      </c>
      <c r="F2785" s="3658">
        <v>1013521</v>
      </c>
      <c r="G2785" s="3659">
        <v>1215000</v>
      </c>
      <c r="H2785" s="3660">
        <f>G2785/F2785</f>
        <v>1.1987911449294095</v>
      </c>
    </row>
    <row r="2786" spans="1:8" ht="41.25" customHeight="1">
      <c r="A2786" s="3968"/>
      <c r="B2786" s="3266"/>
      <c r="C2786" s="3663" t="s">
        <v>353</v>
      </c>
      <c r="D2786" s="3664" t="s">
        <v>849</v>
      </c>
      <c r="E2786" s="3671">
        <v>0</v>
      </c>
      <c r="F2786" s="3658">
        <v>24000</v>
      </c>
      <c r="G2786" s="3659">
        <v>0</v>
      </c>
      <c r="H2786" s="3660">
        <f>G2786/F2786</f>
        <v>0</v>
      </c>
    </row>
    <row r="2787" spans="1:8" ht="31.5" customHeight="1">
      <c r="A2787" s="3968"/>
      <c r="B2787" s="3266"/>
      <c r="C2787" s="3663" t="s">
        <v>1081</v>
      </c>
      <c r="D2787" s="3664" t="s">
        <v>1082</v>
      </c>
      <c r="E2787" s="3671">
        <v>3711871</v>
      </c>
      <c r="F2787" s="3658">
        <v>2864230</v>
      </c>
      <c r="G2787" s="3659">
        <v>3410857</v>
      </c>
      <c r="H2787" s="3660">
        <f>G2787/F2787</f>
        <v>1.1908460563572059</v>
      </c>
    </row>
    <row r="2788" spans="1:8" ht="17.100000000000001" customHeight="1">
      <c r="A2788" s="3968"/>
      <c r="B2788" s="3266"/>
      <c r="C2788" s="4369"/>
      <c r="D2788" s="4370"/>
      <c r="E2788" s="3978"/>
      <c r="F2788" s="3975"/>
      <c r="G2788" s="3979"/>
      <c r="H2788" s="3977"/>
    </row>
    <row r="2789" spans="1:8" ht="17.100000000000001" customHeight="1">
      <c r="A2789" s="3968"/>
      <c r="B2789" s="3266"/>
      <c r="C2789" s="4371" t="s">
        <v>741</v>
      </c>
      <c r="D2789" s="4372"/>
      <c r="E2789" s="3980">
        <f>SUM(E2790:E2791)</f>
        <v>1087342</v>
      </c>
      <c r="F2789" s="3658">
        <f>SUM(F2790:F2791)</f>
        <v>1087342</v>
      </c>
      <c r="G2789" s="3981">
        <f>SUM(G2790:G2791)</f>
        <v>1250443</v>
      </c>
      <c r="H2789" s="3660">
        <f>G2789/F2789</f>
        <v>1.1499997240978459</v>
      </c>
    </row>
    <row r="2790" spans="1:8" ht="17.100000000000001" customHeight="1">
      <c r="A2790" s="3968"/>
      <c r="B2790" s="3266"/>
      <c r="C2790" s="3663" t="s">
        <v>1147</v>
      </c>
      <c r="D2790" s="3664" t="s">
        <v>1148</v>
      </c>
      <c r="E2790" s="3657">
        <v>193354</v>
      </c>
      <c r="F2790" s="3658">
        <v>193042</v>
      </c>
      <c r="G2790" s="3659">
        <v>222357</v>
      </c>
      <c r="H2790" s="3660">
        <f>G2790/F2790</f>
        <v>1.1518581448596679</v>
      </c>
    </row>
    <row r="2791" spans="1:8" ht="17.100000000000001" customHeight="1">
      <c r="A2791" s="3968"/>
      <c r="B2791" s="3266"/>
      <c r="C2791" s="3982" t="s">
        <v>962</v>
      </c>
      <c r="D2791" s="3983" t="s">
        <v>963</v>
      </c>
      <c r="E2791" s="3657">
        <v>893988</v>
      </c>
      <c r="F2791" s="3658">
        <v>894300</v>
      </c>
      <c r="G2791" s="3659">
        <v>1028086</v>
      </c>
      <c r="H2791" s="3660">
        <f>G2791/F2791</f>
        <v>1.14959856871296</v>
      </c>
    </row>
    <row r="2792" spans="1:8" ht="17.100000000000001" customHeight="1">
      <c r="A2792" s="2276"/>
      <c r="B2792" s="3266"/>
      <c r="C2792" s="3028"/>
      <c r="D2792" s="3984"/>
      <c r="E2792" s="3985"/>
      <c r="F2792" s="3975"/>
      <c r="G2792" s="3976"/>
      <c r="H2792" s="3986"/>
    </row>
    <row r="2793" spans="1:8" ht="17.100000000000001" customHeight="1">
      <c r="A2793" s="2276"/>
      <c r="B2793" s="3266"/>
      <c r="C2793" s="4373" t="s">
        <v>744</v>
      </c>
      <c r="D2793" s="4374"/>
      <c r="E2793" s="3987">
        <f t="shared" ref="E2793:G2793" si="196">SUM(E2794)</f>
        <v>0</v>
      </c>
      <c r="F2793" s="3988">
        <f t="shared" si="196"/>
        <v>722000</v>
      </c>
      <c r="G2793" s="3989">
        <f t="shared" si="196"/>
        <v>250000</v>
      </c>
      <c r="H2793" s="3990">
        <f t="shared" ref="H2793:H2800" si="197">G2793/F2793</f>
        <v>0.34626038781163437</v>
      </c>
    </row>
    <row r="2794" spans="1:8" ht="17.100000000000001" customHeight="1">
      <c r="A2794" s="2276"/>
      <c r="B2794" s="3266"/>
      <c r="C2794" s="4355" t="s">
        <v>745</v>
      </c>
      <c r="D2794" s="4356"/>
      <c r="E2794" s="3991">
        <f>SUM(E2796)</f>
        <v>0</v>
      </c>
      <c r="F2794" s="3992">
        <f>SUM(F2795:F2796)</f>
        <v>722000</v>
      </c>
      <c r="G2794" s="3992">
        <f>SUM(G2795:G2796)</f>
        <v>250000</v>
      </c>
      <c r="H2794" s="1453">
        <f t="shared" si="197"/>
        <v>0.34626038781163437</v>
      </c>
    </row>
    <row r="2795" spans="1:8" ht="54.75" customHeight="1">
      <c r="A2795" s="2276"/>
      <c r="B2795" s="3266"/>
      <c r="C2795" s="3993" t="s">
        <v>1075</v>
      </c>
      <c r="D2795" s="2971" t="s">
        <v>1076</v>
      </c>
      <c r="E2795" s="2072"/>
      <c r="F2795" s="2084">
        <v>0</v>
      </c>
      <c r="G2795" s="2085">
        <v>250000</v>
      </c>
      <c r="H2795" s="1594"/>
    </row>
    <row r="2796" spans="1:8" ht="45" customHeight="1" thickBot="1">
      <c r="A2796" s="2276"/>
      <c r="B2796" s="3266"/>
      <c r="C2796" s="3994" t="s">
        <v>880</v>
      </c>
      <c r="D2796" s="2953" t="s">
        <v>881</v>
      </c>
      <c r="E2796" s="3657">
        <v>0</v>
      </c>
      <c r="F2796" s="3658">
        <v>722000</v>
      </c>
      <c r="G2796" s="3659">
        <v>0</v>
      </c>
      <c r="H2796" s="3668">
        <f t="shared" si="197"/>
        <v>0</v>
      </c>
    </row>
    <row r="2797" spans="1:8" s="1370" customFormat="1" ht="17.100000000000001" customHeight="1" thickBot="1">
      <c r="A2797" s="3633"/>
      <c r="B2797" s="1500" t="s">
        <v>1331</v>
      </c>
      <c r="C2797" s="3969"/>
      <c r="D2797" s="3970" t="s">
        <v>312</v>
      </c>
      <c r="E2797" s="1803">
        <f>SUM(E2798,E2802)</f>
        <v>0</v>
      </c>
      <c r="F2797" s="1804">
        <f>SUM(F2798,F2802)</f>
        <v>84000</v>
      </c>
      <c r="G2797" s="1805">
        <f>SUM(G2798,G2802)</f>
        <v>0</v>
      </c>
      <c r="H2797" s="1506">
        <f t="shared" si="197"/>
        <v>0</v>
      </c>
    </row>
    <row r="2798" spans="1:8" s="1370" customFormat="1" ht="17.100000000000001" customHeight="1">
      <c r="A2798" s="1408"/>
      <c r="B2798" s="4357"/>
      <c r="C2798" s="4358" t="s">
        <v>688</v>
      </c>
      <c r="D2798" s="4358"/>
      <c r="E2798" s="2946">
        <f t="shared" ref="E2798:G2799" si="198">SUM(E2799)</f>
        <v>0</v>
      </c>
      <c r="F2798" s="1418">
        <f t="shared" si="198"/>
        <v>36000</v>
      </c>
      <c r="G2798" s="2947">
        <f t="shared" si="198"/>
        <v>0</v>
      </c>
      <c r="H2798" s="3995">
        <f t="shared" si="197"/>
        <v>0</v>
      </c>
    </row>
    <row r="2799" spans="1:8" s="1370" customFormat="1" ht="17.100000000000001" customHeight="1">
      <c r="A2799" s="1408"/>
      <c r="B2799" s="4357"/>
      <c r="C2799" s="4359" t="s">
        <v>797</v>
      </c>
      <c r="D2799" s="4359"/>
      <c r="E2799" s="3996">
        <f t="shared" si="198"/>
        <v>0</v>
      </c>
      <c r="F2799" s="3658">
        <f t="shared" si="198"/>
        <v>36000</v>
      </c>
      <c r="G2799" s="3997">
        <f t="shared" si="198"/>
        <v>0</v>
      </c>
      <c r="H2799" s="1453">
        <f t="shared" si="197"/>
        <v>0</v>
      </c>
    </row>
    <row r="2800" spans="1:8" s="1370" customFormat="1" ht="41.25" customHeight="1">
      <c r="A2800" s="1408"/>
      <c r="B2800" s="1469"/>
      <c r="C2800" s="3679" t="s">
        <v>353</v>
      </c>
      <c r="D2800" s="3680" t="s">
        <v>932</v>
      </c>
      <c r="E2800" s="3996">
        <v>0</v>
      </c>
      <c r="F2800" s="3658">
        <v>36000</v>
      </c>
      <c r="G2800" s="3659">
        <v>0</v>
      </c>
      <c r="H2800" s="3660">
        <f t="shared" si="197"/>
        <v>0</v>
      </c>
    </row>
    <row r="2801" spans="1:8" s="1370" customFormat="1" ht="16.5" customHeight="1">
      <c r="A2801" s="1408"/>
      <c r="B2801" s="1469"/>
      <c r="C2801" s="2970"/>
      <c r="D2801" s="2971"/>
      <c r="E2801" s="3996"/>
      <c r="F2801" s="3658"/>
      <c r="G2801" s="3997"/>
      <c r="H2801" s="1453"/>
    </row>
    <row r="2802" spans="1:8" s="1370" customFormat="1" ht="17.100000000000001" customHeight="1">
      <c r="A2802" s="3633"/>
      <c r="B2802" s="2710"/>
      <c r="C2802" s="4358" t="s">
        <v>744</v>
      </c>
      <c r="D2802" s="4360"/>
      <c r="E2802" s="1815">
        <f t="shared" ref="E2802:G2803" si="199">SUM(E2803)</f>
        <v>0</v>
      </c>
      <c r="F2802" s="1816">
        <f t="shared" si="199"/>
        <v>48000</v>
      </c>
      <c r="G2802" s="1817">
        <f t="shared" si="199"/>
        <v>0</v>
      </c>
      <c r="H2802" s="1509">
        <f>G2802/F2802</f>
        <v>0</v>
      </c>
    </row>
    <row r="2803" spans="1:8" s="1370" customFormat="1" ht="17.100000000000001" customHeight="1">
      <c r="A2803" s="3633"/>
      <c r="B2803" s="2710"/>
      <c r="C2803" s="4361" t="s">
        <v>745</v>
      </c>
      <c r="D2803" s="4362"/>
      <c r="E2803" s="3657">
        <f t="shared" si="199"/>
        <v>0</v>
      </c>
      <c r="F2803" s="3666">
        <f t="shared" si="199"/>
        <v>48000</v>
      </c>
      <c r="G2803" s="3998">
        <f t="shared" si="199"/>
        <v>0</v>
      </c>
      <c r="H2803" s="1453">
        <f>G2803/F2803</f>
        <v>0</v>
      </c>
    </row>
    <row r="2804" spans="1:8" s="1370" customFormat="1" ht="45" customHeight="1" thickBot="1">
      <c r="A2804" s="1516"/>
      <c r="B2804" s="3999"/>
      <c r="C2804" s="4000" t="s">
        <v>880</v>
      </c>
      <c r="D2804" s="2145" t="s">
        <v>881</v>
      </c>
      <c r="E2804" s="3655">
        <v>0</v>
      </c>
      <c r="F2804" s="1538">
        <v>48000</v>
      </c>
      <c r="G2804" s="3656">
        <v>0</v>
      </c>
      <c r="H2804" s="1540">
        <f>G2804/F2804</f>
        <v>0</v>
      </c>
    </row>
    <row r="2805" spans="1:8" ht="17.100000000000001" customHeight="1" thickBot="1">
      <c r="A2805" s="4341" t="s">
        <v>1332</v>
      </c>
      <c r="B2805" s="4342"/>
      <c r="C2805" s="4342"/>
      <c r="D2805" s="4343"/>
      <c r="E2805" s="1599">
        <f>SUM(E9,E184,E217,E249,E459,E541,E580,E672,E716,E792,E1197,E1205,E1263,E1272,E1282,E1690,E1817,E2101,E2238,E2323,E2421,E2530,E2706,E2761)</f>
        <v>1561909219</v>
      </c>
      <c r="F2805" s="1600">
        <f>SUM(F9,F184,F217,F249,F459,F541,F580,F672,F716,F792,F1197,F1205,F1263,F1272,F1282,F1690,F1817,F2101,F2238,F2323,F2421,F2530,F2706,F2761)</f>
        <v>1713507702</v>
      </c>
      <c r="G2805" s="1601">
        <f>SUM(G9,G184,G217,G249,G459,G541,G580,G672,G716,G792,G1197,G1205,G1263,G1272,G1282,G1690,G1817,G2101,G2238,G2323,G2421,G2530,G2706,G2761)</f>
        <v>2047097047</v>
      </c>
      <c r="H2805" s="1602">
        <f>G2805/F2805</f>
        <v>1.1946821392227394</v>
      </c>
    </row>
    <row r="2806" spans="1:8" ht="12.75" customHeight="1" thickBot="1">
      <c r="A2806" s="4344"/>
      <c r="B2806" s="4345"/>
      <c r="C2806" s="4345"/>
      <c r="D2806" s="4345"/>
      <c r="E2806" s="2096"/>
      <c r="F2806" s="4001"/>
      <c r="G2806" s="4001"/>
      <c r="H2806" s="4002"/>
    </row>
    <row r="2807" spans="1:8" ht="17.100000000000001" customHeight="1" thickBot="1">
      <c r="A2807" s="4346" t="s">
        <v>676</v>
      </c>
      <c r="B2807" s="4347"/>
      <c r="C2807" s="4347"/>
      <c r="D2807" s="4348"/>
      <c r="E2807" s="4003"/>
      <c r="F2807" s="4004"/>
      <c r="G2807" s="4005"/>
      <c r="H2807" s="4006"/>
    </row>
    <row r="2808" spans="1:8" ht="17.25" customHeight="1" thickBot="1">
      <c r="A2808" s="4349" t="s">
        <v>1333</v>
      </c>
      <c r="B2808" s="4350"/>
      <c r="C2808" s="4350"/>
      <c r="D2808" s="4351"/>
      <c r="E2808" s="4007">
        <f>E2809+E2812+E2813+E2814+E2815+E2816</f>
        <v>768767860</v>
      </c>
      <c r="F2808" s="4008">
        <f>F2809+F2812+F2813+F2814+F2815+F2816</f>
        <v>841316888</v>
      </c>
      <c r="G2808" s="4009">
        <f>G2809+G2812+G2813+G2814+G2815+G2816</f>
        <v>911944235</v>
      </c>
      <c r="H2808" s="4010">
        <f t="shared" ref="H2808:H2820" si="200">G2808/F2808</f>
        <v>1.0839485668330004</v>
      </c>
    </row>
    <row r="2809" spans="1:8" ht="17.100000000000001" customHeight="1">
      <c r="A2809" s="4352" t="s">
        <v>1334</v>
      </c>
      <c r="B2809" s="4353"/>
      <c r="C2809" s="4353"/>
      <c r="D2809" s="4353"/>
      <c r="E2809" s="4011">
        <f>E2810+E2811</f>
        <v>355833179</v>
      </c>
      <c r="F2809" s="4012">
        <f>F2810+F2811</f>
        <v>390667120</v>
      </c>
      <c r="G2809" s="4013">
        <f>G2810+G2811</f>
        <v>432777048</v>
      </c>
      <c r="H2809" s="1453">
        <f t="shared" si="200"/>
        <v>1.1077897930084313</v>
      </c>
    </row>
    <row r="2810" spans="1:8" ht="19.5" customHeight="1">
      <c r="A2810" s="4354" t="s">
        <v>1335</v>
      </c>
      <c r="B2810" s="4328"/>
      <c r="C2810" s="4328"/>
      <c r="D2810" s="4328"/>
      <c r="E2810" s="4014">
        <f>E13+E50+E75+E329+E584+E624+E796+E814+E833+E944+E955+E1043+E1062+E1294+E1337+E1359+E1379+E1441+E1528+E1614+E1782+E1793+E1836+E2116+E2242+E2289+E2384+E2463+E2656+E2714+E2776+E1582+E163+E438+E498+E1028+E2425+E2478+E2489+E2500+E2511</f>
        <v>167665717</v>
      </c>
      <c r="F2810" s="4015">
        <f>F13+F50+F75+F329+F584+F624+F796+F814+F833+F944+F955+F1043+F1062+F1294+F1337+F1359+F1379+F1441+F1528+F1614+F1782+F1793+F1836+F2116+F2242+F2289+F2384+F2463+F2656+F2714+F2776+F1582+F163+F438+F498+F1028+F2425+F2478+F2489+F2500+F2511</f>
        <v>170912130</v>
      </c>
      <c r="G2810" s="4016">
        <f>G13+G50+G75+G329+G584+G624+G796+G814+G833+G944+G955+G1043+G1062+G1294+G1337+G1359+G1379+G1441+G1528+G1614+G1782+G1793+G1836+G2116+G2242+G2289+G2384+G2463+G2656+G2714+G2776+G1582+G163+G438+G498+G1028+G2425+G2478+G2489+G2500+G2511</f>
        <v>199679204</v>
      </c>
      <c r="H2810" s="3676">
        <f t="shared" si="200"/>
        <v>1.1683149932073282</v>
      </c>
    </row>
    <row r="2811" spans="1:8" ht="18.75" customHeight="1">
      <c r="A2811" s="4327" t="s">
        <v>1336</v>
      </c>
      <c r="B2811" s="4328"/>
      <c r="C2811" s="4328"/>
      <c r="D2811" s="4328"/>
      <c r="E2811" s="4014">
        <f>E21+E57+E81+E143+E170+E253+E320+E337+E426+E445+E463+E506+E545+E592+E632+E676+E804+E817+E841+E949+E960+E1049+E1070+E1276+E1304+E1343+E1368+E1389+E1451+E1538+E1622+E1667+E1679+E1714+E1742+E1754+E1763+E1777+E1788+E1796+E1844+E2298+E2124+E2251+E2327+E2392+E2414+E2439+E2468+E2483+E2494+E2505+E2517+E2534+E2661+E2722+E2755+E2780+E1588+E278+E1031+E2639+E1201+E1694+E2449+E1354+E733+E308+E724+E1243+E1999+E1821+E2009</f>
        <v>188167462</v>
      </c>
      <c r="F2811" s="4015">
        <f>F21+F57+F81+F143+F170+F253+F320+F337+F426+F445+F463+F506+F545+F592+F632+F676+F804+F817+F841+F949+F960+F1049+F1070+F1276+F1304+F1343+F1368+F1389+F1451+F1538+F1622+F1667+F1679+F1714+F1742+F1754+F1763+F1777+F1788+F1796+F1844+F2298+F2124+F2251+F2327+F2392+F2414+F2439+F2468+F2483+F2494+F2505+F2517+F2534+F2661+F2722+F2755+F2780+F1588+F278+F1031+F2639+F1201+F1694+F2449+F1354+F733+F308+F724+F1243+F1999+F1821+F2009+F2607</f>
        <v>219754990</v>
      </c>
      <c r="G2811" s="4016">
        <f>G21+G57+G81+G143+G170+G253+G320+G337+G426+G445+G463+G506+G545+G592+G632+G676+G804+G817+G841+G949+G960+G1049+G1070+G1276+G1304+G1343+G1368+G1389+G1451+G1538+G1622+G1667+G1679+G1714+G1742+G1754+G1763+G1777+G1788+G1796+G1844+G2298+G2124+G2251+G2327+G2392+G2414+G2439+G2468+G2483+G2494+G2505+G2517+G2534+G2661+G2722+G2755+G2780+G1588+G278+G1031+G2639+G1201+G1694+G2449+G1354+G733+G308+G724+G1243+G1999+G1821+G2009</f>
        <v>233097844</v>
      </c>
      <c r="H2811" s="3676">
        <f t="shared" si="200"/>
        <v>1.0607169557332918</v>
      </c>
    </row>
    <row r="2812" spans="1:8" ht="17.100000000000001" customHeight="1">
      <c r="A2812" s="4330" t="s">
        <v>1337</v>
      </c>
      <c r="B2812" s="4331"/>
      <c r="C2812" s="4331"/>
      <c r="D2812" s="4331"/>
      <c r="E2812" s="4017">
        <f>E147+E181+E220+E259+E311+E323+E400+E469+E808+E970+E1086+E1235+E1285+E1630+E1697+E1717+E1247+E1745+E1758+E1768+E1824+E1867+E2015+E2104+E2206+E2332+E2417+E2444+E2537+E2551+E2560+E2569+E2588+E2598+E2611+E2623+E2642+E2784+E515+E559+E719+E1227+E1215+E1409+E1682+E1733+E1976+E1980+E2431+E2523+E2665+E2759+E1208+E736+E572+E662+E939+E1799+E429+E450+E2317+E1725+E1828+E1994+E1261+E1329+E2764+E2799+E619+E669+E417</f>
        <v>266880511</v>
      </c>
      <c r="F2812" s="4018">
        <f>F147+F181+F220+F259+F311+F323+F400+F469+F808+F970+F1086+F1235+F1285+F1630+F1697+F1717+F1247+F1745+F1758+F1768+F1824+F1867+F2015+F2104+F2206+F2332+F2417+F2444+F2537+F2551+F2560+F2569+F2588+F2598+F2611+F2623+F2642+F2784+F515+F559+F719+F1227+F1215+F1409+F1682+F1733+F1976+F1980+F2431+F2523+F2665+F2759+F1208+F736+F572+F662+F939+F1799+F429+F450+F2317+F1725+F1828+F1994+F1261+F1329+F2764+F2799+F619+F669+F417</f>
        <v>297905480</v>
      </c>
      <c r="G2812" s="4019">
        <f>G147+G181+G220+G259+G311+G323+G400+G469+G808+G970+G1086+G1235+G1285+G1630+G1697+G1717+G1247+G1745+G1758+G1768+G1824+G1867+G2015+G2104+G2206+G2332+G2417+G2444+G2537+G2551+G2560+G2569+G2588+G2598+G2611+G2623+G2642+G2784+G515+G559+G719+G1227+G1215+G1409+G1682+G1733+G1976+G1980+G2431+G2523+G2665+G2759+G1208+G736+G572+G662+G939+G1799+G429+G450+G2317+G1725+G1828+G1994+G1261+G1329+G2764+G2799+G619+G669+G417</f>
        <v>320411814</v>
      </c>
      <c r="H2812" s="3660">
        <f t="shared" si="200"/>
        <v>1.0755485733260093</v>
      </c>
    </row>
    <row r="2813" spans="1:8" ht="17.100000000000001" customHeight="1">
      <c r="A2813" s="4330" t="s">
        <v>1338</v>
      </c>
      <c r="B2813" s="4331"/>
      <c r="C2813" s="4331"/>
      <c r="D2813" s="4331"/>
      <c r="E2813" s="4017">
        <f>E42+E70+E93+E363+E612+E648+E825+E867+E1092+E1322+E1350+E1375+E1412+E1466+E1558+E1639+E1640+E1641+E1675+E1870+E2146+E2147+E2261+E2410+E2542+E2543+E2741+E2790+E2791+E1057+E2647+E728+E2309</f>
        <v>4334574</v>
      </c>
      <c r="F2813" s="4018">
        <f>F42+F70+F93+F363+F612+F648+F825+F866+F1092+F1322+F1350+F1375+F1412+F1466+F1558+F1639+F1640+F1641+F1675+F1870+F2146+F2147+F2261+F2410+F2542+F2543+F2741+F2790+F2791+F1057+F2647+F728+F2309</f>
        <v>4809405</v>
      </c>
      <c r="G2813" s="4019">
        <f>G42+G70+G93+G363+G612+G648+G825+G867+G1092+G1322+G1350+G1375+G1412+G1466+G1558+G1639+G1640+G1641+G1675+G1870+G2146+G2147+G2261+G2410+G2542+G2543+G2741+G2790+G2791+G1057+G2647+G728+G2309</f>
        <v>4920239</v>
      </c>
      <c r="H2813" s="3660">
        <f t="shared" si="200"/>
        <v>1.0230452623557384</v>
      </c>
    </row>
    <row r="2814" spans="1:8" ht="15.75" customHeight="1">
      <c r="A2814" s="4338" t="s">
        <v>1339</v>
      </c>
      <c r="B2814" s="4331"/>
      <c r="C2814" s="4331"/>
      <c r="D2814" s="4331"/>
      <c r="E2814" s="4017">
        <f>E104+E187+E226+E742+E870+E974+E1094+E1416+E1468+E1560+E2023+E2149+E2264+E2335+E2454+E2670+E650+E1671+E1803+E2214+E1643+E2745+E472+E365+E690+E518+E2352+E282+E1594</f>
        <v>122971950</v>
      </c>
      <c r="F2814" s="4018">
        <f>F104+F187+F226+F742+F870+F974+F1094+F1416+F1468+F1560+F2023+F2149+F2264+F2335+F2454+F2670+F650+F1671+F1803+F2214+F1643+F2745+F472+F365+F690+F518+F2352+F282+F1594</f>
        <v>129187237</v>
      </c>
      <c r="G2814" s="4019">
        <f>G104+G187+G226+G742+G870+G974+G1094+G1416+G1468+G1560+G1916+G2023+G2149+G2264+G2335+G2454+G2670+G650+G1671+G1803+G2214+G1643+G2745+G472+G365+G690+G518+G2352+G282+G1594</f>
        <v>125248109</v>
      </c>
      <c r="H2814" s="3660">
        <f t="shared" si="200"/>
        <v>0.96950838107947146</v>
      </c>
    </row>
    <row r="2815" spans="1:8" ht="17.100000000000001" customHeight="1">
      <c r="A2815" s="4330" t="s">
        <v>1340</v>
      </c>
      <c r="B2815" s="4331"/>
      <c r="C2815" s="4331"/>
      <c r="D2815" s="4331"/>
      <c r="E2815" s="4017">
        <f>E1271</f>
        <v>10995038</v>
      </c>
      <c r="F2815" s="4018">
        <f>F1271</f>
        <v>10995038</v>
      </c>
      <c r="G2815" s="4019">
        <f>G1271</f>
        <v>16085733</v>
      </c>
      <c r="H2815" s="3660">
        <f t="shared" si="200"/>
        <v>1.4629993093248064</v>
      </c>
    </row>
    <row r="2816" spans="1:8" ht="17.100000000000001" customHeight="1" thickBot="1">
      <c r="A2816" s="4339" t="s">
        <v>1341</v>
      </c>
      <c r="B2816" s="4340"/>
      <c r="C2816" s="4340"/>
      <c r="D2816" s="4340"/>
      <c r="E2816" s="4020">
        <f>E1267</f>
        <v>7752608</v>
      </c>
      <c r="F2816" s="4021">
        <f>F1267</f>
        <v>7752608</v>
      </c>
      <c r="G2816" s="4022">
        <f>G1267</f>
        <v>12501292</v>
      </c>
      <c r="H2816" s="4023">
        <f t="shared" si="200"/>
        <v>1.6125272940409214</v>
      </c>
    </row>
    <row r="2817" spans="1:143" ht="15.75" customHeight="1" thickBot="1">
      <c r="A2817" s="4322" t="s">
        <v>1342</v>
      </c>
      <c r="B2817" s="4323"/>
      <c r="C2817" s="4323"/>
      <c r="D2817" s="4323"/>
      <c r="E2817" s="4007">
        <f>E2818+E2820+E2821</f>
        <v>793141359</v>
      </c>
      <c r="F2817" s="4008">
        <f>F2818+F2820+F2821</f>
        <v>872190814</v>
      </c>
      <c r="G2817" s="4009">
        <f>G2818+G2820+G2821</f>
        <v>1135152812</v>
      </c>
      <c r="H2817" s="4010">
        <f t="shared" si="200"/>
        <v>1.3014959499447332</v>
      </c>
    </row>
    <row r="2818" spans="1:143" ht="17.100000000000001" customHeight="1">
      <c r="A2818" s="4324" t="s">
        <v>1343</v>
      </c>
      <c r="B2818" s="4325"/>
      <c r="C2818" s="4325"/>
      <c r="D2818" s="4326"/>
      <c r="E2818" s="4011">
        <f>E45+E96+E152+E242+E265+E369+E404+E408+E697+E917+E1013+E1161+E1211+E1219+E1223+E1255+E1280+E1435+E1516+E1657+E1702+E1721+E1729+E1737+E1810+E1985+E2089+E2195+E2313+E2556+E2575+E2594+E2603+E2629+E2693+E2473+E782+E2618+E1325+E1567+E615+E286+E828+E158+E412+E432+E454+E493+E538+E563+E576+E1038+E1231+E1289+E1831+E2111+E2235+E2321+E2458+E2767+E2803+E2527+E1749+E1990+E1687+E666+E1332+E2794+E420+E2709+E2372+E2651+E1238+E1874+E1772+E658+E2546+E2565+E2771+E2004+E2434</f>
        <v>793141359</v>
      </c>
      <c r="F2818" s="4013">
        <f>F45+F96+F152+F242+F265+F369+F404+F408+F697+F917+F1013+F1161+F1211+F1219+F1223+F1255+F1280+F1435+F1516+F1608+F1657+F1702+F1721+F1729+F1737+F1810+F1985+F2089+F2195+F2313+F2556+F2575+F2594+F2603+F2629+F2693+F2473+F782+F2618+F1325+F1567+F615+F286+F828+F158+F412+F432+F454+F493+F538+F563+F576+F1038+F1231+F1289+F1831+F2111+F2235+F2321+F2458+F2767+F2803+F2527+F1749+F1990+F1687+F666+F1332+F2794+F420+F2709+F2372+F2651+F1238+F1874+F1772+F658+F2546+F2565+F2771+F2004+F2434</f>
        <v>864190714</v>
      </c>
      <c r="G2818" s="4013">
        <f>G45+G96+G152+G242+G265+G369+G404+G408+G697+G917+G1013+G1161+G1211+G1219+G1223+G1255+G1280+G1435+G1516+G1608+G1657+G1702+G1721+G1729+G1737+G1810+G1985+G2089+G2195+G2313+G2556+G2575+G2594+G2603+G2629+G2693+G2473+G782+G2618+G1325+G1567+G615+G286+G828+G158+G412+G432+G454+G493+G538+G563+G576+G1038+G1231+G1289+G1831+G2111+G2235+G2321+G2458+G2767+G2803+G2527+G1749+G1990+G1687+G666+G1332+G2794+G420+G2709+G2372+G2651+G1238+G1874+G1772+G658+G2546+G2565+G2771+G2004+G2434</f>
        <v>1135152812</v>
      </c>
      <c r="H2818" s="1453">
        <f t="shared" si="200"/>
        <v>1.3135443295216893</v>
      </c>
    </row>
    <row r="2819" spans="1:143" ht="18" customHeight="1">
      <c r="A2819" s="4327" t="s">
        <v>1344</v>
      </c>
      <c r="B2819" s="4328"/>
      <c r="C2819" s="4328"/>
      <c r="D2819" s="4329"/>
      <c r="E2819" s="4014">
        <f>E100+E271+E386+E708+E927+E1020+E1182+E2201+E2701+E788+E1522+E296+E1574+E2583+E2377+E1814+E2096+E2634</f>
        <v>378222843</v>
      </c>
      <c r="F2819" s="4015">
        <f>F100+F271+F386+F708+F927+F1020+F1182+F2201+F2701+F788+F1522+F296+F1574+F2583+F2377+F1814+F2096+F2634</f>
        <v>438835015</v>
      </c>
      <c r="G2819" s="4016">
        <f>G100+G271+G386+G708+G927+G1020+G1182+G2201+G2701+G788+G1522+G296+G1574+G2583+G2377+G1814+G2096+G2634</f>
        <v>602628361</v>
      </c>
      <c r="H2819" s="3676">
        <f t="shared" si="200"/>
        <v>1.3732458450244678</v>
      </c>
    </row>
    <row r="2820" spans="1:143" ht="17.100000000000001" customHeight="1">
      <c r="A2820" s="4330" t="s">
        <v>1345</v>
      </c>
      <c r="B2820" s="4331"/>
      <c r="C2820" s="4331"/>
      <c r="D2820" s="4332"/>
      <c r="E2820" s="4017">
        <f>E1179+E1709+E457</f>
        <v>0</v>
      </c>
      <c r="F2820" s="4018">
        <f>F1179+F1709+F457</f>
        <v>8000100</v>
      </c>
      <c r="G2820" s="4019">
        <f>G1179+G1709+G457</f>
        <v>0</v>
      </c>
      <c r="H2820" s="3660">
        <f t="shared" si="200"/>
        <v>0</v>
      </c>
    </row>
    <row r="2821" spans="1:143" ht="17.100000000000001" customHeight="1" thickBot="1">
      <c r="A2821" s="4333" t="s">
        <v>1346</v>
      </c>
      <c r="B2821" s="4334"/>
      <c r="C2821" s="4334"/>
      <c r="D2821" s="4335"/>
      <c r="E2821" s="4024">
        <v>0</v>
      </c>
      <c r="F2821" s="4025">
        <v>0</v>
      </c>
      <c r="G2821" s="4026">
        <v>0</v>
      </c>
      <c r="H2821" s="1540"/>
    </row>
    <row r="2822" spans="1:143" ht="17.100000000000001" hidden="1" customHeight="1">
      <c r="A2822" s="4027"/>
      <c r="B2822" s="4027"/>
      <c r="C2822" s="4027"/>
      <c r="D2822" s="4027"/>
      <c r="E2822" s="4028">
        <f>E2805</f>
        <v>1561909219</v>
      </c>
      <c r="F2822" s="4028">
        <f>F2805</f>
        <v>1713507702</v>
      </c>
      <c r="G2822" s="4028">
        <f>G2805</f>
        <v>2047097047</v>
      </c>
    </row>
    <row r="2823" spans="1:143" s="1830" customFormat="1" ht="17.100000000000001" hidden="1" customHeight="1">
      <c r="A2823" s="4027"/>
      <c r="B2823" s="4027"/>
      <c r="C2823" s="4027"/>
      <c r="D2823" s="4027"/>
      <c r="E2823" s="4029">
        <f>E2822-E2808-E2817</f>
        <v>0</v>
      </c>
      <c r="F2823" s="4028">
        <f>F2822-F2808-F2817</f>
        <v>0</v>
      </c>
      <c r="G2823" s="4028">
        <f>G2822-G2808-G2817</f>
        <v>0</v>
      </c>
      <c r="I2823" s="1369"/>
      <c r="J2823" s="1370"/>
      <c r="K2823" s="1369"/>
      <c r="L2823" s="1369"/>
      <c r="M2823" s="1369"/>
      <c r="N2823" s="1369"/>
      <c r="O2823" s="1369"/>
      <c r="P2823" s="1369"/>
      <c r="Q2823" s="1369"/>
      <c r="R2823" s="1369"/>
      <c r="S2823" s="1369"/>
      <c r="T2823" s="1369"/>
      <c r="U2823" s="1369"/>
      <c r="V2823" s="1369"/>
      <c r="W2823" s="1369"/>
      <c r="X2823" s="1369"/>
      <c r="Y2823" s="1369"/>
      <c r="Z2823" s="1369"/>
      <c r="AA2823" s="1369"/>
      <c r="AB2823" s="1369"/>
      <c r="AC2823" s="1369"/>
      <c r="AD2823" s="1369"/>
      <c r="AE2823" s="1369"/>
      <c r="AF2823" s="1369"/>
      <c r="AG2823" s="1369"/>
      <c r="AH2823" s="1369"/>
      <c r="AI2823" s="1369"/>
      <c r="AJ2823" s="1369"/>
      <c r="AK2823" s="1369"/>
      <c r="AL2823" s="1369"/>
      <c r="AM2823" s="1369"/>
      <c r="AN2823" s="1369"/>
      <c r="AO2823" s="1369"/>
      <c r="AP2823" s="1369"/>
      <c r="AQ2823" s="1369"/>
      <c r="AR2823" s="1369"/>
      <c r="AS2823" s="1369"/>
      <c r="AT2823" s="1369"/>
      <c r="AU2823" s="1369"/>
      <c r="AV2823" s="1369"/>
      <c r="AW2823" s="1369"/>
      <c r="AX2823" s="1369"/>
      <c r="AY2823" s="1369"/>
      <c r="AZ2823" s="1369"/>
      <c r="BA2823" s="1369"/>
      <c r="BB2823" s="1369"/>
      <c r="BC2823" s="1369"/>
      <c r="BD2823" s="1369"/>
      <c r="BE2823" s="1369"/>
      <c r="BF2823" s="1369"/>
      <c r="BG2823" s="1369"/>
      <c r="BH2823" s="1369"/>
      <c r="BI2823" s="1369"/>
      <c r="BJ2823" s="1369"/>
      <c r="BK2823" s="1369"/>
      <c r="BL2823" s="1369"/>
      <c r="BM2823" s="1369"/>
      <c r="BN2823" s="1369"/>
      <c r="BO2823" s="1369"/>
      <c r="BP2823" s="1369"/>
      <c r="BQ2823" s="1369"/>
      <c r="BR2823" s="1369"/>
      <c r="BS2823" s="1369"/>
      <c r="BT2823" s="1369"/>
      <c r="BU2823" s="1369"/>
      <c r="BV2823" s="1369"/>
      <c r="BW2823" s="1369"/>
      <c r="BX2823" s="1369"/>
      <c r="BY2823" s="1369"/>
      <c r="BZ2823" s="1369"/>
      <c r="CA2823" s="1369"/>
      <c r="CB2823" s="1369"/>
      <c r="CC2823" s="1369"/>
      <c r="CD2823" s="1369"/>
      <c r="CE2823" s="1369"/>
      <c r="CF2823" s="1369"/>
      <c r="CG2823" s="1369"/>
      <c r="CH2823" s="1369"/>
      <c r="CI2823" s="1369"/>
      <c r="CJ2823" s="1369"/>
      <c r="CK2823" s="1369"/>
      <c r="CL2823" s="1369"/>
      <c r="CM2823" s="1369"/>
      <c r="CN2823" s="1369"/>
      <c r="CO2823" s="1369"/>
      <c r="CP2823" s="1369"/>
      <c r="CQ2823" s="1369"/>
      <c r="CR2823" s="1369"/>
      <c r="CS2823" s="1369"/>
      <c r="CT2823" s="1369"/>
      <c r="CU2823" s="1369"/>
      <c r="CV2823" s="1369"/>
      <c r="CW2823" s="1369"/>
      <c r="CX2823" s="1369"/>
      <c r="CY2823" s="1369"/>
      <c r="CZ2823" s="1369"/>
      <c r="DA2823" s="1369"/>
      <c r="DB2823" s="1369"/>
      <c r="DC2823" s="1369"/>
      <c r="DD2823" s="1369"/>
      <c r="DE2823" s="1369"/>
      <c r="DF2823" s="1369"/>
      <c r="DG2823" s="1369"/>
      <c r="DH2823" s="1369"/>
      <c r="DI2823" s="1369"/>
      <c r="DJ2823" s="1369"/>
      <c r="DK2823" s="1369"/>
      <c r="DL2823" s="1369"/>
      <c r="DM2823" s="1369"/>
      <c r="DN2823" s="1369"/>
      <c r="DO2823" s="1369"/>
      <c r="DP2823" s="1369"/>
      <c r="DQ2823" s="1369"/>
      <c r="DR2823" s="1369"/>
      <c r="DS2823" s="1369"/>
      <c r="DT2823" s="1369"/>
      <c r="DU2823" s="1369"/>
      <c r="DV2823" s="1369"/>
      <c r="DW2823" s="1369"/>
      <c r="DX2823" s="1369"/>
      <c r="DY2823" s="1369"/>
      <c r="DZ2823" s="1369"/>
      <c r="EA2823" s="1369"/>
      <c r="EB2823" s="1369"/>
      <c r="EC2823" s="1369"/>
      <c r="ED2823" s="1369"/>
      <c r="EE2823" s="1369"/>
      <c r="EF2823" s="1369"/>
      <c r="EG2823" s="1369"/>
      <c r="EH2823" s="1369"/>
      <c r="EI2823" s="1369"/>
      <c r="EJ2823" s="1369"/>
      <c r="EK2823" s="1369"/>
      <c r="EL2823" s="1369"/>
      <c r="EM2823" s="1369"/>
    </row>
    <row r="2824" spans="1:143" s="1830" customFormat="1" ht="17.100000000000001" customHeight="1">
      <c r="A2824" s="4027"/>
      <c r="B2824" s="4027"/>
      <c r="C2824" s="4027"/>
      <c r="D2824" s="4027"/>
      <c r="E2824" s="4029"/>
      <c r="I2824" s="1369"/>
      <c r="J2824" s="1370"/>
      <c r="K2824" s="1369"/>
      <c r="L2824" s="1369"/>
      <c r="M2824" s="1369"/>
      <c r="N2824" s="1369"/>
      <c r="O2824" s="1369"/>
      <c r="P2824" s="1369"/>
      <c r="Q2824" s="1369"/>
      <c r="R2824" s="1369"/>
      <c r="S2824" s="1369"/>
      <c r="T2824" s="1369"/>
      <c r="U2824" s="1369"/>
      <c r="V2824" s="1369"/>
      <c r="W2824" s="1369"/>
      <c r="X2824" s="1369"/>
      <c r="Y2824" s="1369"/>
      <c r="Z2824" s="1369"/>
      <c r="AA2824" s="1369"/>
      <c r="AB2824" s="1369"/>
      <c r="AC2824" s="1369"/>
      <c r="AD2824" s="1369"/>
      <c r="AE2824" s="1369"/>
      <c r="AF2824" s="1369"/>
      <c r="AG2824" s="1369"/>
      <c r="AH2824" s="1369"/>
      <c r="AI2824" s="1369"/>
      <c r="AJ2824" s="1369"/>
      <c r="AK2824" s="1369"/>
      <c r="AL2824" s="1369"/>
      <c r="AM2824" s="1369"/>
      <c r="AN2824" s="1369"/>
      <c r="AO2824" s="1369"/>
      <c r="AP2824" s="1369"/>
      <c r="AQ2824" s="1369"/>
      <c r="AR2824" s="1369"/>
      <c r="AS2824" s="1369"/>
      <c r="AT2824" s="1369"/>
      <c r="AU2824" s="1369"/>
      <c r="AV2824" s="1369"/>
      <c r="AW2824" s="1369"/>
      <c r="AX2824" s="1369"/>
      <c r="AY2824" s="1369"/>
      <c r="AZ2824" s="1369"/>
      <c r="BA2824" s="1369"/>
      <c r="BB2824" s="1369"/>
      <c r="BC2824" s="1369"/>
      <c r="BD2824" s="1369"/>
      <c r="BE2824" s="1369"/>
      <c r="BF2824" s="1369"/>
      <c r="BG2824" s="1369"/>
      <c r="BH2824" s="1369"/>
      <c r="BI2824" s="1369"/>
      <c r="BJ2824" s="1369"/>
      <c r="BK2824" s="1369"/>
      <c r="BL2824" s="1369"/>
      <c r="BM2824" s="1369"/>
      <c r="BN2824" s="1369"/>
      <c r="BO2824" s="1369"/>
      <c r="BP2824" s="1369"/>
      <c r="BQ2824" s="1369"/>
      <c r="BR2824" s="1369"/>
      <c r="BS2824" s="1369"/>
      <c r="BT2824" s="1369"/>
      <c r="BU2824" s="1369"/>
      <c r="BV2824" s="1369"/>
      <c r="BW2824" s="1369"/>
      <c r="BX2824" s="1369"/>
      <c r="BY2824" s="1369"/>
      <c r="BZ2824" s="1369"/>
      <c r="CA2824" s="1369"/>
      <c r="CB2824" s="1369"/>
      <c r="CC2824" s="1369"/>
      <c r="CD2824" s="1369"/>
      <c r="CE2824" s="1369"/>
      <c r="CF2824" s="1369"/>
      <c r="CG2824" s="1369"/>
      <c r="CH2824" s="1369"/>
      <c r="CI2824" s="1369"/>
      <c r="CJ2824" s="1369"/>
      <c r="CK2824" s="1369"/>
      <c r="CL2824" s="1369"/>
      <c r="CM2824" s="1369"/>
      <c r="CN2824" s="1369"/>
      <c r="CO2824" s="1369"/>
      <c r="CP2824" s="1369"/>
      <c r="CQ2824" s="1369"/>
      <c r="CR2824" s="1369"/>
      <c r="CS2824" s="1369"/>
      <c r="CT2824" s="1369"/>
      <c r="CU2824" s="1369"/>
      <c r="CV2824" s="1369"/>
      <c r="CW2824" s="1369"/>
      <c r="CX2824" s="1369"/>
      <c r="CY2824" s="1369"/>
      <c r="CZ2824" s="1369"/>
      <c r="DA2824" s="1369"/>
      <c r="DB2824" s="1369"/>
      <c r="DC2824" s="1369"/>
      <c r="DD2824" s="1369"/>
      <c r="DE2824" s="1369"/>
      <c r="DF2824" s="1369"/>
      <c r="DG2824" s="1369"/>
      <c r="DH2824" s="1369"/>
      <c r="DI2824" s="1369"/>
      <c r="DJ2824" s="1369"/>
      <c r="DK2824" s="1369"/>
      <c r="DL2824" s="1369"/>
      <c r="DM2824" s="1369"/>
      <c r="DN2824" s="1369"/>
      <c r="DO2824" s="1369"/>
      <c r="DP2824" s="1369"/>
      <c r="DQ2824" s="1369"/>
      <c r="DR2824" s="1369"/>
      <c r="DS2824" s="1369"/>
      <c r="DT2824" s="1369"/>
      <c r="DU2824" s="1369"/>
      <c r="DV2824" s="1369"/>
      <c r="DW2824" s="1369"/>
      <c r="DX2824" s="1369"/>
      <c r="DY2824" s="1369"/>
      <c r="DZ2824" s="1369"/>
      <c r="EA2824" s="1369"/>
      <c r="EB2824" s="1369"/>
      <c r="EC2824" s="1369"/>
      <c r="ED2824" s="1369"/>
      <c r="EE2824" s="1369"/>
      <c r="EF2824" s="1369"/>
      <c r="EG2824" s="1369"/>
      <c r="EH2824" s="1369"/>
      <c r="EI2824" s="1369"/>
      <c r="EJ2824" s="1369"/>
      <c r="EK2824" s="1369"/>
      <c r="EL2824" s="1369"/>
      <c r="EM2824" s="1369"/>
    </row>
    <row r="2825" spans="1:143" s="1830" customFormat="1" ht="17.100000000000001" customHeight="1">
      <c r="A2825" s="4027"/>
      <c r="B2825" s="4027"/>
      <c r="C2825" s="4027"/>
      <c r="D2825" s="4027"/>
      <c r="E2825" s="4027"/>
      <c r="I2825" s="1369"/>
      <c r="J2825" s="1370"/>
      <c r="K2825" s="1369"/>
      <c r="L2825" s="1369"/>
      <c r="M2825" s="1369"/>
      <c r="N2825" s="1369"/>
      <c r="O2825" s="1369"/>
      <c r="P2825" s="1369"/>
      <c r="Q2825" s="1369"/>
      <c r="R2825" s="1369"/>
      <c r="S2825" s="1369"/>
      <c r="T2825" s="1369"/>
      <c r="U2825" s="1369"/>
      <c r="V2825" s="1369"/>
      <c r="W2825" s="1369"/>
      <c r="X2825" s="1369"/>
      <c r="Y2825" s="1369"/>
      <c r="Z2825" s="1369"/>
      <c r="AA2825" s="1369"/>
      <c r="AB2825" s="1369"/>
      <c r="AC2825" s="1369"/>
      <c r="AD2825" s="1369"/>
      <c r="AE2825" s="1369"/>
      <c r="AF2825" s="1369"/>
      <c r="AG2825" s="1369"/>
      <c r="AH2825" s="1369"/>
      <c r="AI2825" s="1369"/>
      <c r="AJ2825" s="1369"/>
      <c r="AK2825" s="1369"/>
      <c r="AL2825" s="1369"/>
      <c r="AM2825" s="1369"/>
      <c r="AN2825" s="1369"/>
      <c r="AO2825" s="1369"/>
      <c r="AP2825" s="1369"/>
      <c r="AQ2825" s="1369"/>
      <c r="AR2825" s="1369"/>
      <c r="AS2825" s="1369"/>
      <c r="AT2825" s="1369"/>
      <c r="AU2825" s="1369"/>
      <c r="AV2825" s="1369"/>
      <c r="AW2825" s="1369"/>
      <c r="AX2825" s="1369"/>
      <c r="AY2825" s="1369"/>
      <c r="AZ2825" s="1369"/>
      <c r="BA2825" s="1369"/>
      <c r="BB2825" s="1369"/>
      <c r="BC2825" s="1369"/>
      <c r="BD2825" s="1369"/>
      <c r="BE2825" s="1369"/>
      <c r="BF2825" s="1369"/>
      <c r="BG2825" s="1369"/>
      <c r="BH2825" s="1369"/>
      <c r="BI2825" s="1369"/>
      <c r="BJ2825" s="1369"/>
      <c r="BK2825" s="1369"/>
      <c r="BL2825" s="1369"/>
      <c r="BM2825" s="1369"/>
      <c r="BN2825" s="1369"/>
      <c r="BO2825" s="1369"/>
      <c r="BP2825" s="1369"/>
      <c r="BQ2825" s="1369"/>
      <c r="BR2825" s="1369"/>
      <c r="BS2825" s="1369"/>
      <c r="BT2825" s="1369"/>
      <c r="BU2825" s="1369"/>
      <c r="BV2825" s="1369"/>
      <c r="BW2825" s="1369"/>
      <c r="BX2825" s="1369"/>
      <c r="BY2825" s="1369"/>
      <c r="BZ2825" s="1369"/>
      <c r="CA2825" s="1369"/>
      <c r="CB2825" s="1369"/>
      <c r="CC2825" s="1369"/>
      <c r="CD2825" s="1369"/>
      <c r="CE2825" s="1369"/>
      <c r="CF2825" s="1369"/>
      <c r="CG2825" s="1369"/>
      <c r="CH2825" s="1369"/>
      <c r="CI2825" s="1369"/>
      <c r="CJ2825" s="1369"/>
      <c r="CK2825" s="1369"/>
      <c r="CL2825" s="1369"/>
      <c r="CM2825" s="1369"/>
      <c r="CN2825" s="1369"/>
      <c r="CO2825" s="1369"/>
      <c r="CP2825" s="1369"/>
      <c r="CQ2825" s="1369"/>
      <c r="CR2825" s="1369"/>
      <c r="CS2825" s="1369"/>
      <c r="CT2825" s="1369"/>
      <c r="CU2825" s="1369"/>
      <c r="CV2825" s="1369"/>
      <c r="CW2825" s="1369"/>
      <c r="CX2825" s="1369"/>
      <c r="CY2825" s="1369"/>
      <c r="CZ2825" s="1369"/>
      <c r="DA2825" s="1369"/>
      <c r="DB2825" s="1369"/>
      <c r="DC2825" s="1369"/>
      <c r="DD2825" s="1369"/>
      <c r="DE2825" s="1369"/>
      <c r="DF2825" s="1369"/>
      <c r="DG2825" s="1369"/>
      <c r="DH2825" s="1369"/>
      <c r="DI2825" s="1369"/>
      <c r="DJ2825" s="1369"/>
      <c r="DK2825" s="1369"/>
      <c r="DL2825" s="1369"/>
      <c r="DM2825" s="1369"/>
      <c r="DN2825" s="1369"/>
      <c r="DO2825" s="1369"/>
      <c r="DP2825" s="1369"/>
      <c r="DQ2825" s="1369"/>
      <c r="DR2825" s="1369"/>
      <c r="DS2825" s="1369"/>
      <c r="DT2825" s="1369"/>
      <c r="DU2825" s="1369"/>
      <c r="DV2825" s="1369"/>
      <c r="DW2825" s="1369"/>
      <c r="DX2825" s="1369"/>
      <c r="DY2825" s="1369"/>
      <c r="DZ2825" s="1369"/>
      <c r="EA2825" s="1369"/>
      <c r="EB2825" s="1369"/>
      <c r="EC2825" s="1369"/>
      <c r="ED2825" s="1369"/>
      <c r="EE2825" s="1369"/>
      <c r="EF2825" s="1369"/>
      <c r="EG2825" s="1369"/>
      <c r="EH2825" s="1369"/>
      <c r="EI2825" s="1369"/>
      <c r="EJ2825" s="1369"/>
      <c r="EK2825" s="1369"/>
      <c r="EL2825" s="1369"/>
      <c r="EM2825" s="1369"/>
    </row>
    <row r="2826" spans="1:143" s="1830" customFormat="1" ht="17.100000000000001" customHeight="1">
      <c r="A2826" s="4336"/>
      <c r="B2826" s="4337"/>
      <c r="C2826" s="4337"/>
      <c r="D2826" s="4337"/>
      <c r="E2826" s="4027"/>
      <c r="I2826" s="1369"/>
      <c r="J2826" s="1370"/>
      <c r="K2826" s="1369"/>
      <c r="L2826" s="1369"/>
      <c r="M2826" s="1369"/>
      <c r="N2826" s="1369"/>
      <c r="O2826" s="1369"/>
      <c r="P2826" s="1369"/>
      <c r="Q2826" s="1369"/>
      <c r="R2826" s="1369"/>
      <c r="S2826" s="1369"/>
      <c r="T2826" s="1369"/>
      <c r="U2826" s="1369"/>
      <c r="V2826" s="1369"/>
      <c r="W2826" s="1369"/>
      <c r="X2826" s="1369"/>
      <c r="Y2826" s="1369"/>
      <c r="Z2826" s="1369"/>
      <c r="AA2826" s="1369"/>
      <c r="AB2826" s="1369"/>
      <c r="AC2826" s="1369"/>
      <c r="AD2826" s="1369"/>
      <c r="AE2826" s="1369"/>
      <c r="AF2826" s="1369"/>
      <c r="AG2826" s="1369"/>
      <c r="AH2826" s="1369"/>
      <c r="AI2826" s="1369"/>
      <c r="AJ2826" s="1369"/>
      <c r="AK2826" s="1369"/>
      <c r="AL2826" s="1369"/>
      <c r="AM2826" s="1369"/>
      <c r="AN2826" s="1369"/>
      <c r="AO2826" s="1369"/>
      <c r="AP2826" s="1369"/>
      <c r="AQ2826" s="1369"/>
      <c r="AR2826" s="1369"/>
      <c r="AS2826" s="1369"/>
      <c r="AT2826" s="1369"/>
      <c r="AU2826" s="1369"/>
      <c r="AV2826" s="1369"/>
      <c r="AW2826" s="1369"/>
      <c r="AX2826" s="1369"/>
      <c r="AY2826" s="1369"/>
      <c r="AZ2826" s="1369"/>
      <c r="BA2826" s="1369"/>
      <c r="BB2826" s="1369"/>
      <c r="BC2826" s="1369"/>
      <c r="BD2826" s="1369"/>
      <c r="BE2826" s="1369"/>
      <c r="BF2826" s="1369"/>
      <c r="BG2826" s="1369"/>
      <c r="BH2826" s="1369"/>
      <c r="BI2826" s="1369"/>
      <c r="BJ2826" s="1369"/>
      <c r="BK2826" s="1369"/>
      <c r="BL2826" s="1369"/>
      <c r="BM2826" s="1369"/>
      <c r="BN2826" s="1369"/>
      <c r="BO2826" s="1369"/>
      <c r="BP2826" s="1369"/>
      <c r="BQ2826" s="1369"/>
      <c r="BR2826" s="1369"/>
      <c r="BS2826" s="1369"/>
      <c r="BT2826" s="1369"/>
      <c r="BU2826" s="1369"/>
      <c r="BV2826" s="1369"/>
      <c r="BW2826" s="1369"/>
      <c r="BX2826" s="1369"/>
      <c r="BY2826" s="1369"/>
      <c r="BZ2826" s="1369"/>
      <c r="CA2826" s="1369"/>
      <c r="CB2826" s="1369"/>
      <c r="CC2826" s="1369"/>
      <c r="CD2826" s="1369"/>
      <c r="CE2826" s="1369"/>
      <c r="CF2826" s="1369"/>
      <c r="CG2826" s="1369"/>
      <c r="CH2826" s="1369"/>
      <c r="CI2826" s="1369"/>
      <c r="CJ2826" s="1369"/>
      <c r="CK2826" s="1369"/>
      <c r="CL2826" s="1369"/>
      <c r="CM2826" s="1369"/>
      <c r="CN2826" s="1369"/>
      <c r="CO2826" s="1369"/>
      <c r="CP2826" s="1369"/>
      <c r="CQ2826" s="1369"/>
      <c r="CR2826" s="1369"/>
      <c r="CS2826" s="1369"/>
      <c r="CT2826" s="1369"/>
      <c r="CU2826" s="1369"/>
      <c r="CV2826" s="1369"/>
      <c r="CW2826" s="1369"/>
      <c r="CX2826" s="1369"/>
      <c r="CY2826" s="1369"/>
      <c r="CZ2826" s="1369"/>
      <c r="DA2826" s="1369"/>
      <c r="DB2826" s="1369"/>
      <c r="DC2826" s="1369"/>
      <c r="DD2826" s="1369"/>
      <c r="DE2826" s="1369"/>
      <c r="DF2826" s="1369"/>
      <c r="DG2826" s="1369"/>
      <c r="DH2826" s="1369"/>
      <c r="DI2826" s="1369"/>
      <c r="DJ2826" s="1369"/>
      <c r="DK2826" s="1369"/>
      <c r="DL2826" s="1369"/>
      <c r="DM2826" s="1369"/>
      <c r="DN2826" s="1369"/>
      <c r="DO2826" s="1369"/>
      <c r="DP2826" s="1369"/>
      <c r="DQ2826" s="1369"/>
      <c r="DR2826" s="1369"/>
      <c r="DS2826" s="1369"/>
      <c r="DT2826" s="1369"/>
      <c r="DU2826" s="1369"/>
      <c r="DV2826" s="1369"/>
      <c r="DW2826" s="1369"/>
      <c r="DX2826" s="1369"/>
      <c r="DY2826" s="1369"/>
      <c r="DZ2826" s="1369"/>
      <c r="EA2826" s="1369"/>
      <c r="EB2826" s="1369"/>
      <c r="EC2826" s="1369"/>
      <c r="ED2826" s="1369"/>
      <c r="EE2826" s="1369"/>
      <c r="EF2826" s="1369"/>
      <c r="EG2826" s="1369"/>
      <c r="EH2826" s="1369"/>
      <c r="EI2826" s="1369"/>
      <c r="EJ2826" s="1369"/>
      <c r="EK2826" s="1369"/>
      <c r="EL2826" s="1369"/>
      <c r="EM2826" s="1369"/>
    </row>
    <row r="2827" spans="1:143" s="1830" customFormat="1" ht="17.100000000000001" customHeight="1">
      <c r="A2827" s="4027"/>
      <c r="B2827" s="4027"/>
      <c r="C2827" s="4027"/>
      <c r="D2827" s="4027"/>
      <c r="E2827" s="4027"/>
      <c r="I2827" s="1369"/>
      <c r="J2827" s="1370"/>
      <c r="K2827" s="1369"/>
      <c r="L2827" s="1369"/>
      <c r="M2827" s="1369"/>
      <c r="N2827" s="1369"/>
      <c r="O2827" s="1369"/>
      <c r="P2827" s="1369"/>
      <c r="Q2827" s="1369"/>
      <c r="R2827" s="1369"/>
      <c r="S2827" s="1369"/>
      <c r="T2827" s="1369"/>
      <c r="U2827" s="1369"/>
      <c r="V2827" s="1369"/>
      <c r="W2827" s="1369"/>
      <c r="X2827" s="1369"/>
      <c r="Y2827" s="1369"/>
      <c r="Z2827" s="1369"/>
      <c r="AA2827" s="1369"/>
      <c r="AB2827" s="1369"/>
      <c r="AC2827" s="1369"/>
      <c r="AD2827" s="1369"/>
      <c r="AE2827" s="1369"/>
      <c r="AF2827" s="1369"/>
      <c r="AG2827" s="1369"/>
      <c r="AH2827" s="1369"/>
      <c r="AI2827" s="1369"/>
      <c r="AJ2827" s="1369"/>
      <c r="AK2827" s="1369"/>
      <c r="AL2827" s="1369"/>
      <c r="AM2827" s="1369"/>
      <c r="AN2827" s="1369"/>
      <c r="AO2827" s="1369"/>
      <c r="AP2827" s="1369"/>
      <c r="AQ2827" s="1369"/>
      <c r="AR2827" s="1369"/>
      <c r="AS2827" s="1369"/>
      <c r="AT2827" s="1369"/>
      <c r="AU2827" s="1369"/>
      <c r="AV2827" s="1369"/>
      <c r="AW2827" s="1369"/>
      <c r="AX2827" s="1369"/>
      <c r="AY2827" s="1369"/>
      <c r="AZ2827" s="1369"/>
      <c r="BA2827" s="1369"/>
      <c r="BB2827" s="1369"/>
      <c r="BC2827" s="1369"/>
      <c r="BD2827" s="1369"/>
      <c r="BE2827" s="1369"/>
      <c r="BF2827" s="1369"/>
      <c r="BG2827" s="1369"/>
      <c r="BH2827" s="1369"/>
      <c r="BI2827" s="1369"/>
      <c r="BJ2827" s="1369"/>
      <c r="BK2827" s="1369"/>
      <c r="BL2827" s="1369"/>
      <c r="BM2827" s="1369"/>
      <c r="BN2827" s="1369"/>
      <c r="BO2827" s="1369"/>
      <c r="BP2827" s="1369"/>
      <c r="BQ2827" s="1369"/>
      <c r="BR2827" s="1369"/>
      <c r="BS2827" s="1369"/>
      <c r="BT2827" s="1369"/>
      <c r="BU2827" s="1369"/>
      <c r="BV2827" s="1369"/>
      <c r="BW2827" s="1369"/>
      <c r="BX2827" s="1369"/>
      <c r="BY2827" s="1369"/>
      <c r="BZ2827" s="1369"/>
      <c r="CA2827" s="1369"/>
      <c r="CB2827" s="1369"/>
      <c r="CC2827" s="1369"/>
      <c r="CD2827" s="1369"/>
      <c r="CE2827" s="1369"/>
      <c r="CF2827" s="1369"/>
      <c r="CG2827" s="1369"/>
      <c r="CH2827" s="1369"/>
      <c r="CI2827" s="1369"/>
      <c r="CJ2827" s="1369"/>
      <c r="CK2827" s="1369"/>
      <c r="CL2827" s="1369"/>
      <c r="CM2827" s="1369"/>
      <c r="CN2827" s="1369"/>
      <c r="CO2827" s="1369"/>
      <c r="CP2827" s="1369"/>
      <c r="CQ2827" s="1369"/>
      <c r="CR2827" s="1369"/>
      <c r="CS2827" s="1369"/>
      <c r="CT2827" s="1369"/>
      <c r="CU2827" s="1369"/>
      <c r="CV2827" s="1369"/>
      <c r="CW2827" s="1369"/>
      <c r="CX2827" s="1369"/>
      <c r="CY2827" s="1369"/>
      <c r="CZ2827" s="1369"/>
      <c r="DA2827" s="1369"/>
      <c r="DB2827" s="1369"/>
      <c r="DC2827" s="1369"/>
      <c r="DD2827" s="1369"/>
      <c r="DE2827" s="1369"/>
      <c r="DF2827" s="1369"/>
      <c r="DG2827" s="1369"/>
      <c r="DH2827" s="1369"/>
      <c r="DI2827" s="1369"/>
      <c r="DJ2827" s="1369"/>
      <c r="DK2827" s="1369"/>
      <c r="DL2827" s="1369"/>
      <c r="DM2827" s="1369"/>
      <c r="DN2827" s="1369"/>
      <c r="DO2827" s="1369"/>
      <c r="DP2827" s="1369"/>
      <c r="DQ2827" s="1369"/>
      <c r="DR2827" s="1369"/>
      <c r="DS2827" s="1369"/>
      <c r="DT2827" s="1369"/>
      <c r="DU2827" s="1369"/>
      <c r="DV2827" s="1369"/>
      <c r="DW2827" s="1369"/>
      <c r="DX2827" s="1369"/>
      <c r="DY2827" s="1369"/>
      <c r="DZ2827" s="1369"/>
      <c r="EA2827" s="1369"/>
      <c r="EB2827" s="1369"/>
      <c r="EC2827" s="1369"/>
      <c r="ED2827" s="1369"/>
      <c r="EE2827" s="1369"/>
      <c r="EF2827" s="1369"/>
      <c r="EG2827" s="1369"/>
      <c r="EH2827" s="1369"/>
      <c r="EI2827" s="1369"/>
      <c r="EJ2827" s="1369"/>
      <c r="EK2827" s="1369"/>
      <c r="EL2827" s="1369"/>
      <c r="EM2827" s="1369"/>
    </row>
    <row r="2828" spans="1:143" s="1830" customFormat="1">
      <c r="A2828" s="4027"/>
      <c r="B2828" s="4027"/>
      <c r="C2828" s="4027"/>
      <c r="D2828" s="4027"/>
      <c r="E2828" s="4027"/>
      <c r="I2828" s="1369"/>
      <c r="J2828" s="1370"/>
      <c r="K2828" s="1369"/>
      <c r="L2828" s="1369"/>
      <c r="M2828" s="1369"/>
      <c r="N2828" s="1369"/>
      <c r="O2828" s="1369"/>
      <c r="P2828" s="1369"/>
      <c r="Q2828" s="1369"/>
      <c r="R2828" s="1369"/>
      <c r="S2828" s="1369"/>
      <c r="T2828" s="1369"/>
      <c r="U2828" s="1369"/>
      <c r="V2828" s="1369"/>
      <c r="W2828" s="1369"/>
      <c r="X2828" s="1369"/>
      <c r="Y2828" s="1369"/>
      <c r="Z2828" s="1369"/>
      <c r="AA2828" s="1369"/>
      <c r="AB2828" s="1369"/>
      <c r="AC2828" s="1369"/>
      <c r="AD2828" s="1369"/>
      <c r="AE2828" s="1369"/>
      <c r="AF2828" s="1369"/>
      <c r="AG2828" s="1369"/>
      <c r="AH2828" s="1369"/>
      <c r="AI2828" s="1369"/>
      <c r="AJ2828" s="1369"/>
      <c r="AK2828" s="1369"/>
      <c r="AL2828" s="1369"/>
      <c r="AM2828" s="1369"/>
      <c r="AN2828" s="1369"/>
      <c r="AO2828" s="1369"/>
      <c r="AP2828" s="1369"/>
      <c r="AQ2828" s="1369"/>
      <c r="AR2828" s="1369"/>
      <c r="AS2828" s="1369"/>
      <c r="AT2828" s="1369"/>
      <c r="AU2828" s="1369"/>
      <c r="AV2828" s="1369"/>
      <c r="AW2828" s="1369"/>
      <c r="AX2828" s="1369"/>
      <c r="AY2828" s="1369"/>
      <c r="AZ2828" s="1369"/>
      <c r="BA2828" s="1369"/>
      <c r="BB2828" s="1369"/>
      <c r="BC2828" s="1369"/>
      <c r="BD2828" s="1369"/>
      <c r="BE2828" s="1369"/>
      <c r="BF2828" s="1369"/>
      <c r="BG2828" s="1369"/>
      <c r="BH2828" s="1369"/>
      <c r="BI2828" s="1369"/>
      <c r="BJ2828" s="1369"/>
      <c r="BK2828" s="1369"/>
      <c r="BL2828" s="1369"/>
      <c r="BM2828" s="1369"/>
      <c r="BN2828" s="1369"/>
      <c r="BO2828" s="1369"/>
      <c r="BP2828" s="1369"/>
      <c r="BQ2828" s="1369"/>
      <c r="BR2828" s="1369"/>
      <c r="BS2828" s="1369"/>
      <c r="BT2828" s="1369"/>
      <c r="BU2828" s="1369"/>
      <c r="BV2828" s="1369"/>
      <c r="BW2828" s="1369"/>
      <c r="BX2828" s="1369"/>
      <c r="BY2828" s="1369"/>
      <c r="BZ2828" s="1369"/>
      <c r="CA2828" s="1369"/>
      <c r="CB2828" s="1369"/>
      <c r="CC2828" s="1369"/>
      <c r="CD2828" s="1369"/>
      <c r="CE2828" s="1369"/>
      <c r="CF2828" s="1369"/>
      <c r="CG2828" s="1369"/>
      <c r="CH2828" s="1369"/>
      <c r="CI2828" s="1369"/>
      <c r="CJ2828" s="1369"/>
      <c r="CK2828" s="1369"/>
      <c r="CL2828" s="1369"/>
      <c r="CM2828" s="1369"/>
      <c r="CN2828" s="1369"/>
      <c r="CO2828" s="1369"/>
      <c r="CP2828" s="1369"/>
      <c r="CQ2828" s="1369"/>
      <c r="CR2828" s="1369"/>
      <c r="CS2828" s="1369"/>
      <c r="CT2828" s="1369"/>
      <c r="CU2828" s="1369"/>
      <c r="CV2828" s="1369"/>
      <c r="CW2828" s="1369"/>
      <c r="CX2828" s="1369"/>
      <c r="CY2828" s="1369"/>
      <c r="CZ2828" s="1369"/>
      <c r="DA2828" s="1369"/>
      <c r="DB2828" s="1369"/>
      <c r="DC2828" s="1369"/>
      <c r="DD2828" s="1369"/>
      <c r="DE2828" s="1369"/>
      <c r="DF2828" s="1369"/>
      <c r="DG2828" s="1369"/>
      <c r="DH2828" s="1369"/>
      <c r="DI2828" s="1369"/>
      <c r="DJ2828" s="1369"/>
      <c r="DK2828" s="1369"/>
      <c r="DL2828" s="1369"/>
      <c r="DM2828" s="1369"/>
      <c r="DN2828" s="1369"/>
      <c r="DO2828" s="1369"/>
      <c r="DP2828" s="1369"/>
      <c r="DQ2828" s="1369"/>
      <c r="DR2828" s="1369"/>
      <c r="DS2828" s="1369"/>
      <c r="DT2828" s="1369"/>
      <c r="DU2828" s="1369"/>
      <c r="DV2828" s="1369"/>
      <c r="DW2828" s="1369"/>
      <c r="DX2828" s="1369"/>
      <c r="DY2828" s="1369"/>
      <c r="DZ2828" s="1369"/>
      <c r="EA2828" s="1369"/>
      <c r="EB2828" s="1369"/>
      <c r="EC2828" s="1369"/>
      <c r="ED2828" s="1369"/>
      <c r="EE2828" s="1369"/>
      <c r="EF2828" s="1369"/>
      <c r="EG2828" s="1369"/>
      <c r="EH2828" s="1369"/>
      <c r="EI2828" s="1369"/>
      <c r="EJ2828" s="1369"/>
      <c r="EK2828" s="1369"/>
      <c r="EL2828" s="1369"/>
      <c r="EM2828" s="1369"/>
    </row>
    <row r="2829" spans="1:143" s="1830" customFormat="1">
      <c r="A2829" s="4027"/>
      <c r="B2829" s="4027"/>
      <c r="C2829" s="4027"/>
      <c r="D2829" s="4027"/>
      <c r="E2829" s="4027"/>
      <c r="I2829" s="1369"/>
      <c r="J2829" s="1370"/>
      <c r="K2829" s="1369"/>
      <c r="L2829" s="1369"/>
      <c r="M2829" s="1369"/>
      <c r="N2829" s="1369"/>
      <c r="O2829" s="1369"/>
      <c r="P2829" s="1369"/>
      <c r="Q2829" s="1369"/>
      <c r="R2829" s="1369"/>
      <c r="S2829" s="1369"/>
      <c r="T2829" s="1369"/>
      <c r="U2829" s="1369"/>
      <c r="V2829" s="1369"/>
      <c r="W2829" s="1369"/>
      <c r="X2829" s="1369"/>
      <c r="Y2829" s="1369"/>
      <c r="Z2829" s="1369"/>
      <c r="AA2829" s="1369"/>
      <c r="AB2829" s="1369"/>
      <c r="AC2829" s="1369"/>
      <c r="AD2829" s="1369"/>
      <c r="AE2829" s="1369"/>
      <c r="AF2829" s="1369"/>
      <c r="AG2829" s="1369"/>
      <c r="AH2829" s="1369"/>
      <c r="AI2829" s="1369"/>
      <c r="AJ2829" s="1369"/>
      <c r="AK2829" s="1369"/>
      <c r="AL2829" s="1369"/>
      <c r="AM2829" s="1369"/>
      <c r="AN2829" s="1369"/>
      <c r="AO2829" s="1369"/>
      <c r="AP2829" s="1369"/>
      <c r="AQ2829" s="1369"/>
      <c r="AR2829" s="1369"/>
      <c r="AS2829" s="1369"/>
      <c r="AT2829" s="1369"/>
      <c r="AU2829" s="1369"/>
      <c r="AV2829" s="1369"/>
      <c r="AW2829" s="1369"/>
      <c r="AX2829" s="1369"/>
      <c r="AY2829" s="1369"/>
      <c r="AZ2829" s="1369"/>
      <c r="BA2829" s="1369"/>
      <c r="BB2829" s="1369"/>
      <c r="BC2829" s="1369"/>
      <c r="BD2829" s="1369"/>
      <c r="BE2829" s="1369"/>
      <c r="BF2829" s="1369"/>
      <c r="BG2829" s="1369"/>
      <c r="BH2829" s="1369"/>
      <c r="BI2829" s="1369"/>
      <c r="BJ2829" s="1369"/>
      <c r="BK2829" s="1369"/>
      <c r="BL2829" s="1369"/>
      <c r="BM2829" s="1369"/>
      <c r="BN2829" s="1369"/>
      <c r="BO2829" s="1369"/>
      <c r="BP2829" s="1369"/>
      <c r="BQ2829" s="1369"/>
      <c r="BR2829" s="1369"/>
      <c r="BS2829" s="1369"/>
      <c r="BT2829" s="1369"/>
      <c r="BU2829" s="1369"/>
      <c r="BV2829" s="1369"/>
      <c r="BW2829" s="1369"/>
      <c r="BX2829" s="1369"/>
      <c r="BY2829" s="1369"/>
      <c r="BZ2829" s="1369"/>
      <c r="CA2829" s="1369"/>
      <c r="CB2829" s="1369"/>
      <c r="CC2829" s="1369"/>
      <c r="CD2829" s="1369"/>
      <c r="CE2829" s="1369"/>
      <c r="CF2829" s="1369"/>
      <c r="CG2829" s="1369"/>
      <c r="CH2829" s="1369"/>
      <c r="CI2829" s="1369"/>
      <c r="CJ2829" s="1369"/>
      <c r="CK2829" s="1369"/>
      <c r="CL2829" s="1369"/>
      <c r="CM2829" s="1369"/>
      <c r="CN2829" s="1369"/>
      <c r="CO2829" s="1369"/>
      <c r="CP2829" s="1369"/>
      <c r="CQ2829" s="1369"/>
      <c r="CR2829" s="1369"/>
      <c r="CS2829" s="1369"/>
      <c r="CT2829" s="1369"/>
      <c r="CU2829" s="1369"/>
      <c r="CV2829" s="1369"/>
      <c r="CW2829" s="1369"/>
      <c r="CX2829" s="1369"/>
      <c r="CY2829" s="1369"/>
      <c r="CZ2829" s="1369"/>
      <c r="DA2829" s="1369"/>
      <c r="DB2829" s="1369"/>
      <c r="DC2829" s="1369"/>
      <c r="DD2829" s="1369"/>
      <c r="DE2829" s="1369"/>
      <c r="DF2829" s="1369"/>
      <c r="DG2829" s="1369"/>
      <c r="DH2829" s="1369"/>
      <c r="DI2829" s="1369"/>
      <c r="DJ2829" s="1369"/>
      <c r="DK2829" s="1369"/>
      <c r="DL2829" s="1369"/>
      <c r="DM2829" s="1369"/>
      <c r="DN2829" s="1369"/>
      <c r="DO2829" s="1369"/>
      <c r="DP2829" s="1369"/>
      <c r="DQ2829" s="1369"/>
      <c r="DR2829" s="1369"/>
      <c r="DS2829" s="1369"/>
      <c r="DT2829" s="1369"/>
      <c r="DU2829" s="1369"/>
      <c r="DV2829" s="1369"/>
      <c r="DW2829" s="1369"/>
      <c r="DX2829" s="1369"/>
      <c r="DY2829" s="1369"/>
      <c r="DZ2829" s="1369"/>
      <c r="EA2829" s="1369"/>
      <c r="EB2829" s="1369"/>
      <c r="EC2829" s="1369"/>
      <c r="ED2829" s="1369"/>
      <c r="EE2829" s="1369"/>
      <c r="EF2829" s="1369"/>
      <c r="EG2829" s="1369"/>
      <c r="EH2829" s="1369"/>
      <c r="EI2829" s="1369"/>
      <c r="EJ2829" s="1369"/>
      <c r="EK2829" s="1369"/>
      <c r="EL2829" s="1369"/>
      <c r="EM2829" s="1369"/>
    </row>
    <row r="2830" spans="1:143" s="1830" customFormat="1">
      <c r="A2830" s="1369"/>
      <c r="B2830" s="1369"/>
      <c r="C2830" s="2859"/>
      <c r="D2830" s="1369"/>
      <c r="E2830" s="1369"/>
      <c r="I2830" s="1369"/>
      <c r="J2830" s="1370"/>
      <c r="K2830" s="1369"/>
      <c r="L2830" s="1369"/>
      <c r="M2830" s="1369"/>
      <c r="N2830" s="1369"/>
      <c r="O2830" s="1369"/>
      <c r="P2830" s="1369"/>
      <c r="Q2830" s="1369"/>
      <c r="R2830" s="1369"/>
      <c r="S2830" s="1369"/>
      <c r="T2830" s="1369"/>
      <c r="U2830" s="1369"/>
      <c r="V2830" s="1369"/>
      <c r="W2830" s="1369"/>
      <c r="X2830" s="1369"/>
      <c r="Y2830" s="1369"/>
      <c r="Z2830" s="1369"/>
      <c r="AA2830" s="1369"/>
      <c r="AB2830" s="1369"/>
      <c r="AC2830" s="1369"/>
      <c r="AD2830" s="1369"/>
      <c r="AE2830" s="1369"/>
      <c r="AF2830" s="1369"/>
      <c r="AG2830" s="1369"/>
      <c r="AH2830" s="1369"/>
      <c r="AI2830" s="1369"/>
      <c r="AJ2830" s="1369"/>
      <c r="AK2830" s="1369"/>
      <c r="AL2830" s="1369"/>
      <c r="AM2830" s="1369"/>
      <c r="AN2830" s="1369"/>
      <c r="AO2830" s="1369"/>
      <c r="AP2830" s="1369"/>
      <c r="AQ2830" s="1369"/>
      <c r="AR2830" s="1369"/>
      <c r="AS2830" s="1369"/>
      <c r="AT2830" s="1369"/>
      <c r="AU2830" s="1369"/>
      <c r="AV2830" s="1369"/>
      <c r="AW2830" s="1369"/>
      <c r="AX2830" s="1369"/>
      <c r="AY2830" s="1369"/>
      <c r="AZ2830" s="1369"/>
      <c r="BA2830" s="1369"/>
      <c r="BB2830" s="1369"/>
      <c r="BC2830" s="1369"/>
      <c r="BD2830" s="1369"/>
      <c r="BE2830" s="1369"/>
      <c r="BF2830" s="1369"/>
      <c r="BG2830" s="1369"/>
      <c r="BH2830" s="1369"/>
      <c r="BI2830" s="1369"/>
      <c r="BJ2830" s="1369"/>
      <c r="BK2830" s="1369"/>
      <c r="BL2830" s="1369"/>
      <c r="BM2830" s="1369"/>
      <c r="BN2830" s="1369"/>
      <c r="BO2830" s="1369"/>
      <c r="BP2830" s="1369"/>
      <c r="BQ2830" s="1369"/>
      <c r="BR2830" s="1369"/>
      <c r="BS2830" s="1369"/>
      <c r="BT2830" s="1369"/>
      <c r="BU2830" s="1369"/>
      <c r="BV2830" s="1369"/>
      <c r="BW2830" s="1369"/>
      <c r="BX2830" s="1369"/>
      <c r="BY2830" s="1369"/>
      <c r="BZ2830" s="1369"/>
      <c r="CA2830" s="1369"/>
      <c r="CB2830" s="1369"/>
      <c r="CC2830" s="1369"/>
      <c r="CD2830" s="1369"/>
      <c r="CE2830" s="1369"/>
      <c r="CF2830" s="1369"/>
      <c r="CG2830" s="1369"/>
      <c r="CH2830" s="1369"/>
      <c r="CI2830" s="1369"/>
      <c r="CJ2830" s="1369"/>
      <c r="CK2830" s="1369"/>
      <c r="CL2830" s="1369"/>
      <c r="CM2830" s="1369"/>
      <c r="CN2830" s="1369"/>
      <c r="CO2830" s="1369"/>
      <c r="CP2830" s="1369"/>
      <c r="CQ2830" s="1369"/>
      <c r="CR2830" s="1369"/>
      <c r="CS2830" s="1369"/>
      <c r="CT2830" s="1369"/>
      <c r="CU2830" s="1369"/>
      <c r="CV2830" s="1369"/>
      <c r="CW2830" s="1369"/>
      <c r="CX2830" s="1369"/>
      <c r="CY2830" s="1369"/>
      <c r="CZ2830" s="1369"/>
      <c r="DA2830" s="1369"/>
      <c r="DB2830" s="1369"/>
      <c r="DC2830" s="1369"/>
      <c r="DD2830" s="1369"/>
      <c r="DE2830" s="1369"/>
      <c r="DF2830" s="1369"/>
      <c r="DG2830" s="1369"/>
      <c r="DH2830" s="1369"/>
      <c r="DI2830" s="1369"/>
      <c r="DJ2830" s="1369"/>
      <c r="DK2830" s="1369"/>
      <c r="DL2830" s="1369"/>
      <c r="DM2830" s="1369"/>
      <c r="DN2830" s="1369"/>
      <c r="DO2830" s="1369"/>
      <c r="DP2830" s="1369"/>
      <c r="DQ2830" s="1369"/>
      <c r="DR2830" s="1369"/>
      <c r="DS2830" s="1369"/>
      <c r="DT2830" s="1369"/>
      <c r="DU2830" s="1369"/>
      <c r="DV2830" s="1369"/>
      <c r="DW2830" s="1369"/>
      <c r="DX2830" s="1369"/>
      <c r="DY2830" s="1369"/>
      <c r="DZ2830" s="1369"/>
      <c r="EA2830" s="1369"/>
      <c r="EB2830" s="1369"/>
      <c r="EC2830" s="1369"/>
      <c r="ED2830" s="1369"/>
      <c r="EE2830" s="1369"/>
      <c r="EF2830" s="1369"/>
      <c r="EG2830" s="1369"/>
      <c r="EH2830" s="1369"/>
      <c r="EI2830" s="1369"/>
      <c r="EJ2830" s="1369"/>
      <c r="EK2830" s="1369"/>
      <c r="EL2830" s="1369"/>
      <c r="EM2830" s="1369"/>
    </row>
    <row r="2832" spans="1:143" s="1830" customFormat="1">
      <c r="A2832" s="1369"/>
      <c r="B2832" s="1369"/>
      <c r="C2832" s="2859"/>
      <c r="D2832" s="1369"/>
      <c r="E2832" s="1369"/>
      <c r="I2832" s="1369"/>
      <c r="J2832" s="1370"/>
      <c r="K2832" s="1369"/>
      <c r="L2832" s="1369"/>
      <c r="M2832" s="1369"/>
      <c r="N2832" s="1369"/>
      <c r="O2832" s="1369"/>
      <c r="P2832" s="1369"/>
      <c r="Q2832" s="1369"/>
      <c r="R2832" s="1369"/>
      <c r="S2832" s="1369"/>
      <c r="T2832" s="1369"/>
      <c r="U2832" s="1369"/>
      <c r="V2832" s="1369"/>
      <c r="W2832" s="1369"/>
      <c r="X2832" s="1369"/>
      <c r="Y2832" s="1369"/>
      <c r="Z2832" s="1369"/>
      <c r="AA2832" s="1369"/>
      <c r="AB2832" s="1369"/>
      <c r="AC2832" s="1369"/>
      <c r="AD2832" s="1369"/>
      <c r="AE2832" s="1369"/>
      <c r="AF2832" s="1369"/>
      <c r="AG2832" s="1369"/>
      <c r="AH2832" s="1369"/>
      <c r="AI2832" s="1369"/>
      <c r="AJ2832" s="1369"/>
      <c r="AK2832" s="1369"/>
      <c r="AL2832" s="1369"/>
      <c r="AM2832" s="1369"/>
      <c r="AN2832" s="1369"/>
      <c r="AO2832" s="1369"/>
      <c r="AP2832" s="1369"/>
      <c r="AQ2832" s="1369"/>
      <c r="AR2832" s="1369"/>
      <c r="AS2832" s="1369"/>
      <c r="AT2832" s="1369"/>
      <c r="AU2832" s="1369"/>
      <c r="AV2832" s="1369"/>
      <c r="AW2832" s="1369"/>
      <c r="AX2832" s="1369"/>
      <c r="AY2832" s="1369"/>
      <c r="AZ2832" s="1369"/>
      <c r="BA2832" s="1369"/>
      <c r="BB2832" s="1369"/>
      <c r="BC2832" s="1369"/>
      <c r="BD2832" s="1369"/>
      <c r="BE2832" s="1369"/>
      <c r="BF2832" s="1369"/>
      <c r="BG2832" s="1369"/>
      <c r="BH2832" s="1369"/>
      <c r="BI2832" s="1369"/>
      <c r="BJ2832" s="1369"/>
      <c r="BK2832" s="1369"/>
      <c r="BL2832" s="1369"/>
      <c r="BM2832" s="1369"/>
      <c r="BN2832" s="1369"/>
      <c r="BO2832" s="1369"/>
      <c r="BP2832" s="1369"/>
      <c r="BQ2832" s="1369"/>
      <c r="BR2832" s="1369"/>
      <c r="BS2832" s="1369"/>
      <c r="BT2832" s="1369"/>
      <c r="BU2832" s="1369"/>
      <c r="BV2832" s="1369"/>
      <c r="BW2832" s="1369"/>
      <c r="BX2832" s="1369"/>
      <c r="BY2832" s="1369"/>
      <c r="BZ2832" s="1369"/>
      <c r="CA2832" s="1369"/>
      <c r="CB2832" s="1369"/>
      <c r="CC2832" s="1369"/>
      <c r="CD2832" s="1369"/>
      <c r="CE2832" s="1369"/>
      <c r="CF2832" s="1369"/>
      <c r="CG2832" s="1369"/>
      <c r="CH2832" s="1369"/>
      <c r="CI2832" s="1369"/>
      <c r="CJ2832" s="1369"/>
      <c r="CK2832" s="1369"/>
      <c r="CL2832" s="1369"/>
      <c r="CM2832" s="1369"/>
      <c r="CN2832" s="1369"/>
      <c r="CO2832" s="1369"/>
      <c r="CP2832" s="1369"/>
      <c r="CQ2832" s="1369"/>
      <c r="CR2832" s="1369"/>
      <c r="CS2832" s="1369"/>
      <c r="CT2832" s="1369"/>
      <c r="CU2832" s="1369"/>
      <c r="CV2832" s="1369"/>
      <c r="CW2832" s="1369"/>
      <c r="CX2832" s="1369"/>
      <c r="CY2832" s="1369"/>
      <c r="CZ2832" s="1369"/>
      <c r="DA2832" s="1369"/>
      <c r="DB2832" s="1369"/>
      <c r="DC2832" s="1369"/>
      <c r="DD2832" s="1369"/>
      <c r="DE2832" s="1369"/>
      <c r="DF2832" s="1369"/>
      <c r="DG2832" s="1369"/>
      <c r="DH2832" s="1369"/>
      <c r="DI2832" s="1369"/>
      <c r="DJ2832" s="1369"/>
      <c r="DK2832" s="1369"/>
      <c r="DL2832" s="1369"/>
      <c r="DM2832" s="1369"/>
      <c r="DN2832" s="1369"/>
      <c r="DO2832" s="1369"/>
      <c r="DP2832" s="1369"/>
      <c r="DQ2832" s="1369"/>
      <c r="DR2832" s="1369"/>
      <c r="DS2832" s="1369"/>
      <c r="DT2832" s="1369"/>
      <c r="DU2832" s="1369"/>
      <c r="DV2832" s="1369"/>
      <c r="DW2832" s="1369"/>
      <c r="DX2832" s="1369"/>
      <c r="DY2832" s="1369"/>
      <c r="DZ2832" s="1369"/>
      <c r="EA2832" s="1369"/>
      <c r="EB2832" s="1369"/>
      <c r="EC2832" s="1369"/>
      <c r="ED2832" s="1369"/>
      <c r="EE2832" s="1369"/>
      <c r="EF2832" s="1369"/>
      <c r="EG2832" s="1369"/>
      <c r="EH2832" s="1369"/>
      <c r="EI2832" s="1369"/>
      <c r="EJ2832" s="1369"/>
      <c r="EK2832" s="1369"/>
      <c r="EL2832" s="1369"/>
      <c r="EM2832" s="1369"/>
    </row>
    <row r="2834" spans="1:143" s="1830" customFormat="1">
      <c r="A2834" s="1369"/>
      <c r="B2834" s="1369"/>
      <c r="C2834" s="2859"/>
      <c r="D2834" s="1369"/>
      <c r="E2834" s="1369"/>
      <c r="I2834" s="1369"/>
      <c r="J2834" s="1370"/>
      <c r="K2834" s="1369"/>
      <c r="L2834" s="1369"/>
      <c r="M2834" s="1369"/>
      <c r="N2834" s="1369"/>
      <c r="O2834" s="1369"/>
      <c r="P2834" s="1369"/>
      <c r="Q2834" s="1369"/>
      <c r="R2834" s="1369"/>
      <c r="S2834" s="1369"/>
      <c r="T2834" s="1369"/>
      <c r="U2834" s="1369"/>
      <c r="V2834" s="1369"/>
      <c r="W2834" s="1369"/>
      <c r="X2834" s="1369"/>
      <c r="Y2834" s="1369"/>
      <c r="Z2834" s="1369"/>
      <c r="AA2834" s="1369"/>
      <c r="AB2834" s="1369"/>
      <c r="AC2834" s="1369"/>
      <c r="AD2834" s="1369"/>
      <c r="AE2834" s="1369"/>
      <c r="AF2834" s="1369"/>
      <c r="AG2834" s="1369"/>
      <c r="AH2834" s="1369"/>
      <c r="AI2834" s="1369"/>
      <c r="AJ2834" s="1369"/>
      <c r="AK2834" s="1369"/>
      <c r="AL2834" s="1369"/>
      <c r="AM2834" s="1369"/>
      <c r="AN2834" s="1369"/>
      <c r="AO2834" s="1369"/>
      <c r="AP2834" s="1369"/>
      <c r="AQ2834" s="1369"/>
      <c r="AR2834" s="1369"/>
      <c r="AS2834" s="1369"/>
      <c r="AT2834" s="1369"/>
      <c r="AU2834" s="1369"/>
      <c r="AV2834" s="1369"/>
      <c r="AW2834" s="1369"/>
      <c r="AX2834" s="1369"/>
      <c r="AY2834" s="1369"/>
      <c r="AZ2834" s="1369"/>
      <c r="BA2834" s="1369"/>
      <c r="BB2834" s="1369"/>
      <c r="BC2834" s="1369"/>
      <c r="BD2834" s="1369"/>
      <c r="BE2834" s="1369"/>
      <c r="BF2834" s="1369"/>
      <c r="BG2834" s="1369"/>
      <c r="BH2834" s="1369"/>
      <c r="BI2834" s="1369"/>
      <c r="BJ2834" s="1369"/>
      <c r="BK2834" s="1369"/>
      <c r="BL2834" s="1369"/>
      <c r="BM2834" s="1369"/>
      <c r="BN2834" s="1369"/>
      <c r="BO2834" s="1369"/>
      <c r="BP2834" s="1369"/>
      <c r="BQ2834" s="1369"/>
      <c r="BR2834" s="1369"/>
      <c r="BS2834" s="1369"/>
      <c r="BT2834" s="1369"/>
      <c r="BU2834" s="1369"/>
      <c r="BV2834" s="1369"/>
      <c r="BW2834" s="1369"/>
      <c r="BX2834" s="1369"/>
      <c r="BY2834" s="1369"/>
      <c r="BZ2834" s="1369"/>
      <c r="CA2834" s="1369"/>
      <c r="CB2834" s="1369"/>
      <c r="CC2834" s="1369"/>
      <c r="CD2834" s="1369"/>
      <c r="CE2834" s="1369"/>
      <c r="CF2834" s="1369"/>
      <c r="CG2834" s="1369"/>
      <c r="CH2834" s="1369"/>
      <c r="CI2834" s="1369"/>
      <c r="CJ2834" s="1369"/>
      <c r="CK2834" s="1369"/>
      <c r="CL2834" s="1369"/>
      <c r="CM2834" s="1369"/>
      <c r="CN2834" s="1369"/>
      <c r="CO2834" s="1369"/>
      <c r="CP2834" s="1369"/>
      <c r="CQ2834" s="1369"/>
      <c r="CR2834" s="1369"/>
      <c r="CS2834" s="1369"/>
      <c r="CT2834" s="1369"/>
      <c r="CU2834" s="1369"/>
      <c r="CV2834" s="1369"/>
      <c r="CW2834" s="1369"/>
      <c r="CX2834" s="1369"/>
      <c r="CY2834" s="1369"/>
      <c r="CZ2834" s="1369"/>
      <c r="DA2834" s="1369"/>
      <c r="DB2834" s="1369"/>
      <c r="DC2834" s="1369"/>
      <c r="DD2834" s="1369"/>
      <c r="DE2834" s="1369"/>
      <c r="DF2834" s="1369"/>
      <c r="DG2834" s="1369"/>
      <c r="DH2834" s="1369"/>
      <c r="DI2834" s="1369"/>
      <c r="DJ2834" s="1369"/>
      <c r="DK2834" s="1369"/>
      <c r="DL2834" s="1369"/>
      <c r="DM2834" s="1369"/>
      <c r="DN2834" s="1369"/>
      <c r="DO2834" s="1369"/>
      <c r="DP2834" s="1369"/>
      <c r="DQ2834" s="1369"/>
      <c r="DR2834" s="1369"/>
      <c r="DS2834" s="1369"/>
      <c r="DT2834" s="1369"/>
      <c r="DU2834" s="1369"/>
      <c r="DV2834" s="1369"/>
      <c r="DW2834" s="1369"/>
      <c r="DX2834" s="1369"/>
      <c r="DY2834" s="1369"/>
      <c r="DZ2834" s="1369"/>
      <c r="EA2834" s="1369"/>
      <c r="EB2834" s="1369"/>
      <c r="EC2834" s="1369"/>
      <c r="ED2834" s="1369"/>
      <c r="EE2834" s="1369"/>
      <c r="EF2834" s="1369"/>
      <c r="EG2834" s="1369"/>
      <c r="EH2834" s="1369"/>
      <c r="EI2834" s="1369"/>
      <c r="EJ2834" s="1369"/>
      <c r="EK2834" s="1369"/>
      <c r="EL2834" s="1369"/>
      <c r="EM2834" s="1369"/>
    </row>
    <row r="2836" spans="1:143" s="1830" customFormat="1">
      <c r="A2836" s="1369"/>
      <c r="B2836" s="1369"/>
      <c r="C2836" s="2859"/>
      <c r="D2836" s="1369"/>
      <c r="E2836" s="1369"/>
      <c r="I2836" s="1369"/>
      <c r="J2836" s="1370"/>
      <c r="K2836" s="1369"/>
      <c r="L2836" s="1369"/>
      <c r="M2836" s="1369"/>
      <c r="N2836" s="1369"/>
      <c r="O2836" s="1369"/>
      <c r="P2836" s="1369"/>
      <c r="Q2836" s="1369"/>
      <c r="R2836" s="1369"/>
      <c r="S2836" s="1369"/>
      <c r="T2836" s="1369"/>
      <c r="U2836" s="1369"/>
      <c r="V2836" s="1369"/>
      <c r="W2836" s="1369"/>
      <c r="X2836" s="1369"/>
      <c r="Y2836" s="1369"/>
      <c r="Z2836" s="1369"/>
      <c r="AA2836" s="1369"/>
      <c r="AB2836" s="1369"/>
      <c r="AC2836" s="1369"/>
      <c r="AD2836" s="1369"/>
      <c r="AE2836" s="1369"/>
      <c r="AF2836" s="1369"/>
      <c r="AG2836" s="1369"/>
      <c r="AH2836" s="1369"/>
      <c r="AI2836" s="1369"/>
      <c r="AJ2836" s="1369"/>
      <c r="AK2836" s="1369"/>
      <c r="AL2836" s="1369"/>
      <c r="AM2836" s="1369"/>
      <c r="AN2836" s="1369"/>
      <c r="AO2836" s="1369"/>
      <c r="AP2836" s="1369"/>
      <c r="AQ2836" s="1369"/>
      <c r="AR2836" s="1369"/>
      <c r="AS2836" s="1369"/>
      <c r="AT2836" s="1369"/>
      <c r="AU2836" s="1369"/>
      <c r="AV2836" s="1369"/>
      <c r="AW2836" s="1369"/>
      <c r="AX2836" s="1369"/>
      <c r="AY2836" s="1369"/>
      <c r="AZ2836" s="1369"/>
      <c r="BA2836" s="1369"/>
      <c r="BB2836" s="1369"/>
      <c r="BC2836" s="1369"/>
      <c r="BD2836" s="1369"/>
      <c r="BE2836" s="1369"/>
      <c r="BF2836" s="1369"/>
      <c r="BG2836" s="1369"/>
      <c r="BH2836" s="1369"/>
      <c r="BI2836" s="1369"/>
      <c r="BJ2836" s="1369"/>
      <c r="BK2836" s="1369"/>
      <c r="BL2836" s="1369"/>
      <c r="BM2836" s="1369"/>
      <c r="BN2836" s="1369"/>
      <c r="BO2836" s="1369"/>
      <c r="BP2836" s="1369"/>
      <c r="BQ2836" s="1369"/>
      <c r="BR2836" s="1369"/>
      <c r="BS2836" s="1369"/>
      <c r="BT2836" s="1369"/>
      <c r="BU2836" s="1369"/>
      <c r="BV2836" s="1369"/>
      <c r="BW2836" s="1369"/>
      <c r="BX2836" s="1369"/>
      <c r="BY2836" s="1369"/>
      <c r="BZ2836" s="1369"/>
      <c r="CA2836" s="1369"/>
      <c r="CB2836" s="1369"/>
      <c r="CC2836" s="1369"/>
      <c r="CD2836" s="1369"/>
      <c r="CE2836" s="1369"/>
      <c r="CF2836" s="1369"/>
      <c r="CG2836" s="1369"/>
      <c r="CH2836" s="1369"/>
      <c r="CI2836" s="1369"/>
      <c r="CJ2836" s="1369"/>
      <c r="CK2836" s="1369"/>
      <c r="CL2836" s="1369"/>
      <c r="CM2836" s="1369"/>
      <c r="CN2836" s="1369"/>
      <c r="CO2836" s="1369"/>
      <c r="CP2836" s="1369"/>
      <c r="CQ2836" s="1369"/>
      <c r="CR2836" s="1369"/>
      <c r="CS2836" s="1369"/>
      <c r="CT2836" s="1369"/>
      <c r="CU2836" s="1369"/>
      <c r="CV2836" s="1369"/>
      <c r="CW2836" s="1369"/>
      <c r="CX2836" s="1369"/>
      <c r="CY2836" s="1369"/>
      <c r="CZ2836" s="1369"/>
      <c r="DA2836" s="1369"/>
      <c r="DB2836" s="1369"/>
      <c r="DC2836" s="1369"/>
      <c r="DD2836" s="1369"/>
      <c r="DE2836" s="1369"/>
      <c r="DF2836" s="1369"/>
      <c r="DG2836" s="1369"/>
      <c r="DH2836" s="1369"/>
      <c r="DI2836" s="1369"/>
      <c r="DJ2836" s="1369"/>
      <c r="DK2836" s="1369"/>
      <c r="DL2836" s="1369"/>
      <c r="DM2836" s="1369"/>
      <c r="DN2836" s="1369"/>
      <c r="DO2836" s="1369"/>
      <c r="DP2836" s="1369"/>
      <c r="DQ2836" s="1369"/>
      <c r="DR2836" s="1369"/>
      <c r="DS2836" s="1369"/>
      <c r="DT2836" s="1369"/>
      <c r="DU2836" s="1369"/>
      <c r="DV2836" s="1369"/>
      <c r="DW2836" s="1369"/>
      <c r="DX2836" s="1369"/>
      <c r="DY2836" s="1369"/>
      <c r="DZ2836" s="1369"/>
      <c r="EA2836" s="1369"/>
      <c r="EB2836" s="1369"/>
      <c r="EC2836" s="1369"/>
      <c r="ED2836" s="1369"/>
      <c r="EE2836" s="1369"/>
      <c r="EF2836" s="1369"/>
      <c r="EG2836" s="1369"/>
      <c r="EH2836" s="1369"/>
      <c r="EI2836" s="1369"/>
      <c r="EJ2836" s="1369"/>
      <c r="EK2836" s="1369"/>
      <c r="EL2836" s="1369"/>
      <c r="EM2836" s="1369"/>
    </row>
    <row r="2838" spans="1:143">
      <c r="C2838" s="2859"/>
    </row>
    <row r="2840" spans="1:143">
      <c r="C2840" s="2859"/>
    </row>
    <row r="2842" spans="1:143">
      <c r="C2842" s="2859"/>
    </row>
    <row r="2844" spans="1:143">
      <c r="C2844" s="2859"/>
    </row>
    <row r="2846" spans="1:143">
      <c r="C2846" s="2859"/>
    </row>
  </sheetData>
  <mergeCells count="758">
    <mergeCell ref="A1:H1"/>
    <mergeCell ref="B11:B13"/>
    <mergeCell ref="C11:D11"/>
    <mergeCell ref="C12:D12"/>
    <mergeCell ref="C13:D13"/>
    <mergeCell ref="C21:D21"/>
    <mergeCell ref="B73:B101"/>
    <mergeCell ref="C73:D73"/>
    <mergeCell ref="C74:D74"/>
    <mergeCell ref="C75:D75"/>
    <mergeCell ref="C81:D81"/>
    <mergeCell ref="C91:D91"/>
    <mergeCell ref="C40:D40"/>
    <mergeCell ref="C41:D41"/>
    <mergeCell ref="C43:D43"/>
    <mergeCell ref="C44:D44"/>
    <mergeCell ref="C45:D45"/>
    <mergeCell ref="C48:D48"/>
    <mergeCell ref="C92:D92"/>
    <mergeCell ref="C95:D95"/>
    <mergeCell ref="C96:D96"/>
    <mergeCell ref="C100:D100"/>
    <mergeCell ref="C103:D103"/>
    <mergeCell ref="C104:D104"/>
    <mergeCell ref="C49:D49"/>
    <mergeCell ref="C50:D50"/>
    <mergeCell ref="C57:D57"/>
    <mergeCell ref="C70:D70"/>
    <mergeCell ref="C141:D141"/>
    <mergeCell ref="C142:D142"/>
    <mergeCell ref="C143:D143"/>
    <mergeCell ref="C146:D146"/>
    <mergeCell ref="C147:D147"/>
    <mergeCell ref="B150:B155"/>
    <mergeCell ref="C150:D150"/>
    <mergeCell ref="C151:D151"/>
    <mergeCell ref="C152:D152"/>
    <mergeCell ref="C170:D170"/>
    <mergeCell ref="C181:D181"/>
    <mergeCell ref="B186:B190"/>
    <mergeCell ref="C186:D186"/>
    <mergeCell ref="C187:D187"/>
    <mergeCell ref="C219:D219"/>
    <mergeCell ref="C157:D157"/>
    <mergeCell ref="C158:D158"/>
    <mergeCell ref="C161:D161"/>
    <mergeCell ref="C162:D162"/>
    <mergeCell ref="C163:D163"/>
    <mergeCell ref="C169:D169"/>
    <mergeCell ref="C252:D252"/>
    <mergeCell ref="C253:D253"/>
    <mergeCell ref="C259:D259"/>
    <mergeCell ref="C264:D264"/>
    <mergeCell ref="C265:D265"/>
    <mergeCell ref="C271:D271"/>
    <mergeCell ref="C220:D220"/>
    <mergeCell ref="C226:D226"/>
    <mergeCell ref="C240:D240"/>
    <mergeCell ref="C241:D241"/>
    <mergeCell ref="C242:D242"/>
    <mergeCell ref="C251:D251"/>
    <mergeCell ref="B318:B321"/>
    <mergeCell ref="C318:D318"/>
    <mergeCell ref="C319:D319"/>
    <mergeCell ref="C320:D320"/>
    <mergeCell ref="C276:D276"/>
    <mergeCell ref="C277:D277"/>
    <mergeCell ref="C278:D278"/>
    <mergeCell ref="C282:D282"/>
    <mergeCell ref="C285:D285"/>
    <mergeCell ref="C286:D286"/>
    <mergeCell ref="C323:D323"/>
    <mergeCell ref="C325:D325"/>
    <mergeCell ref="C327:D327"/>
    <mergeCell ref="C328:D328"/>
    <mergeCell ref="C329:D329"/>
    <mergeCell ref="C336:D336"/>
    <mergeCell ref="C296:D296"/>
    <mergeCell ref="C306:D306"/>
    <mergeCell ref="C307:D307"/>
    <mergeCell ref="C308:D308"/>
    <mergeCell ref="C311:D311"/>
    <mergeCell ref="C399:D399"/>
    <mergeCell ref="C400:D400"/>
    <mergeCell ref="C403:D403"/>
    <mergeCell ref="C404:D404"/>
    <mergeCell ref="B407:B409"/>
    <mergeCell ref="C407:D407"/>
    <mergeCell ref="C408:D408"/>
    <mergeCell ref="C337:D337"/>
    <mergeCell ref="C362:D362"/>
    <mergeCell ref="C365:D365"/>
    <mergeCell ref="C368:D368"/>
    <mergeCell ref="C369:D369"/>
    <mergeCell ref="C386:D386"/>
    <mergeCell ref="C423:D423"/>
    <mergeCell ref="C424:D424"/>
    <mergeCell ref="C425:D425"/>
    <mergeCell ref="C426:D426"/>
    <mergeCell ref="C429:D429"/>
    <mergeCell ref="C431:D431"/>
    <mergeCell ref="C411:D411"/>
    <mergeCell ref="C412:D412"/>
    <mergeCell ref="B415:B421"/>
    <mergeCell ref="C415:D415"/>
    <mergeCell ref="C416:D416"/>
    <mergeCell ref="C419:D419"/>
    <mergeCell ref="C420:D420"/>
    <mergeCell ref="C432:D432"/>
    <mergeCell ref="B436:B458"/>
    <mergeCell ref="C436:D436"/>
    <mergeCell ref="C437:D437"/>
    <mergeCell ref="C438:D438"/>
    <mergeCell ref="C445:D445"/>
    <mergeCell ref="C450:D450"/>
    <mergeCell ref="C453:D453"/>
    <mergeCell ref="C454:D454"/>
    <mergeCell ref="C456:D456"/>
    <mergeCell ref="C491:D491"/>
    <mergeCell ref="C492:D492"/>
    <mergeCell ref="C493:D493"/>
    <mergeCell ref="C496:D496"/>
    <mergeCell ref="C497:D497"/>
    <mergeCell ref="C498:D498"/>
    <mergeCell ref="C457:D457"/>
    <mergeCell ref="C461:D461"/>
    <mergeCell ref="C462:D462"/>
    <mergeCell ref="C463:D463"/>
    <mergeCell ref="C469:D469"/>
    <mergeCell ref="C472:D472"/>
    <mergeCell ref="C543:D543"/>
    <mergeCell ref="C544:D544"/>
    <mergeCell ref="C545:D545"/>
    <mergeCell ref="C559:D559"/>
    <mergeCell ref="C562:D562"/>
    <mergeCell ref="C563:D563"/>
    <mergeCell ref="C505:D505"/>
    <mergeCell ref="C506:D506"/>
    <mergeCell ref="C515:D515"/>
    <mergeCell ref="C518:D518"/>
    <mergeCell ref="C537:D537"/>
    <mergeCell ref="C538:D538"/>
    <mergeCell ref="C584:D584"/>
    <mergeCell ref="C592:D592"/>
    <mergeCell ref="C611:D611"/>
    <mergeCell ref="C613:D613"/>
    <mergeCell ref="C614:D614"/>
    <mergeCell ref="C615:D615"/>
    <mergeCell ref="C571:D571"/>
    <mergeCell ref="C572:D572"/>
    <mergeCell ref="C575:D575"/>
    <mergeCell ref="C576:D576"/>
    <mergeCell ref="C582:D582"/>
    <mergeCell ref="C583:D583"/>
    <mergeCell ref="C647:D647"/>
    <mergeCell ref="C650:D650"/>
    <mergeCell ref="C657:D657"/>
    <mergeCell ref="C658:D658"/>
    <mergeCell ref="B661:B663"/>
    <mergeCell ref="C661:D661"/>
    <mergeCell ref="C662:D662"/>
    <mergeCell ref="C618:D618"/>
    <mergeCell ref="C619:D619"/>
    <mergeCell ref="C622:D622"/>
    <mergeCell ref="C623:D623"/>
    <mergeCell ref="C624:D624"/>
    <mergeCell ref="C632:D632"/>
    <mergeCell ref="C665:D665"/>
    <mergeCell ref="C666:D666"/>
    <mergeCell ref="B668:B670"/>
    <mergeCell ref="C668:D668"/>
    <mergeCell ref="C669:D669"/>
    <mergeCell ref="B674:B682"/>
    <mergeCell ref="C674:D674"/>
    <mergeCell ref="C675:D675"/>
    <mergeCell ref="C676:D676"/>
    <mergeCell ref="C719:D719"/>
    <mergeCell ref="B722:B729"/>
    <mergeCell ref="C722:D722"/>
    <mergeCell ref="C723:D723"/>
    <mergeCell ref="C724:D724"/>
    <mergeCell ref="C727:D727"/>
    <mergeCell ref="C728:D728"/>
    <mergeCell ref="C690:D690"/>
    <mergeCell ref="C696:D696"/>
    <mergeCell ref="C697:D697"/>
    <mergeCell ref="C707:D707"/>
    <mergeCell ref="C708:D708"/>
    <mergeCell ref="C718:D718"/>
    <mergeCell ref="B794:B798"/>
    <mergeCell ref="C794:D794"/>
    <mergeCell ref="C795:D795"/>
    <mergeCell ref="C796:D796"/>
    <mergeCell ref="B731:B742"/>
    <mergeCell ref="C731:D731"/>
    <mergeCell ref="C732:D732"/>
    <mergeCell ref="C733:D733"/>
    <mergeCell ref="C736:D736"/>
    <mergeCell ref="C742:D742"/>
    <mergeCell ref="C804:D804"/>
    <mergeCell ref="C808:D808"/>
    <mergeCell ref="C812:D812"/>
    <mergeCell ref="C813:D813"/>
    <mergeCell ref="C814:D814"/>
    <mergeCell ref="C817:D817"/>
    <mergeCell ref="C780:D780"/>
    <mergeCell ref="C781:D781"/>
    <mergeCell ref="C782:D782"/>
    <mergeCell ref="C788:D788"/>
    <mergeCell ref="C833:D833"/>
    <mergeCell ref="C841:D841"/>
    <mergeCell ref="C866:D866"/>
    <mergeCell ref="C870:D870"/>
    <mergeCell ref="C916:D916"/>
    <mergeCell ref="C917:D917"/>
    <mergeCell ref="C824:D824"/>
    <mergeCell ref="C826:D826"/>
    <mergeCell ref="C827:D827"/>
    <mergeCell ref="C828:D828"/>
    <mergeCell ref="C831:D831"/>
    <mergeCell ref="C832:D832"/>
    <mergeCell ref="C949:D949"/>
    <mergeCell ref="C953:D953"/>
    <mergeCell ref="C954:D954"/>
    <mergeCell ref="C955:D955"/>
    <mergeCell ref="C960:D960"/>
    <mergeCell ref="C970:D970"/>
    <mergeCell ref="B921:B935"/>
    <mergeCell ref="C927:D927"/>
    <mergeCell ref="C938:D938"/>
    <mergeCell ref="C939:D939"/>
    <mergeCell ref="B942:B946"/>
    <mergeCell ref="C942:D942"/>
    <mergeCell ref="C943:D943"/>
    <mergeCell ref="C944:D944"/>
    <mergeCell ref="C974:D974"/>
    <mergeCell ref="C1012:D1012"/>
    <mergeCell ref="C1013:D1013"/>
    <mergeCell ref="C1020:D1020"/>
    <mergeCell ref="B1026:B1035"/>
    <mergeCell ref="C1026:D1026"/>
    <mergeCell ref="C1027:D1027"/>
    <mergeCell ref="C1028:D1028"/>
    <mergeCell ref="C1031:D1031"/>
    <mergeCell ref="C1057:D1057"/>
    <mergeCell ref="A1059:A1060"/>
    <mergeCell ref="C1060:D1060"/>
    <mergeCell ref="C1061:D1061"/>
    <mergeCell ref="C1062:D1062"/>
    <mergeCell ref="C1070:D1070"/>
    <mergeCell ref="C1037:D1037"/>
    <mergeCell ref="C1038:D1038"/>
    <mergeCell ref="C1041:D1041"/>
    <mergeCell ref="C1042:D1042"/>
    <mergeCell ref="C1043:D1043"/>
    <mergeCell ref="C1049:D1049"/>
    <mergeCell ref="C1178:D1178"/>
    <mergeCell ref="C1179:D1179"/>
    <mergeCell ref="C1182:D1182"/>
    <mergeCell ref="C1199:D1199"/>
    <mergeCell ref="C1200:D1200"/>
    <mergeCell ref="C1201:D1201"/>
    <mergeCell ref="C1086:D1086"/>
    <mergeCell ref="C1091:D1091"/>
    <mergeCell ref="C1093:D1093"/>
    <mergeCell ref="C1094:D1094"/>
    <mergeCell ref="C1160:D1160"/>
    <mergeCell ref="C1161:D1161"/>
    <mergeCell ref="C1207:D1207"/>
    <mergeCell ref="C1208:D1208"/>
    <mergeCell ref="B1210:B1212"/>
    <mergeCell ref="C1210:D1210"/>
    <mergeCell ref="C1211:D1211"/>
    <mergeCell ref="B1214:B1220"/>
    <mergeCell ref="C1214:D1214"/>
    <mergeCell ref="C1215:D1215"/>
    <mergeCell ref="C1217:D1217"/>
    <mergeCell ref="C1218:D1218"/>
    <mergeCell ref="B1234:B1236"/>
    <mergeCell ref="C1234:D1234"/>
    <mergeCell ref="C1235:D1235"/>
    <mergeCell ref="C1219:D1219"/>
    <mergeCell ref="B1222:B1224"/>
    <mergeCell ref="C1222:D1222"/>
    <mergeCell ref="C1223:D1223"/>
    <mergeCell ref="C1226:D1226"/>
    <mergeCell ref="C1227:D1227"/>
    <mergeCell ref="C1237:D1237"/>
    <mergeCell ref="C1238:D1238"/>
    <mergeCell ref="C1241:D1241"/>
    <mergeCell ref="C1242:D1242"/>
    <mergeCell ref="C1243:D1243"/>
    <mergeCell ref="C1247:D1247"/>
    <mergeCell ref="C1229:D1229"/>
    <mergeCell ref="C1230:D1230"/>
    <mergeCell ref="C1231:D1231"/>
    <mergeCell ref="B1269:B1271"/>
    <mergeCell ref="C1269:D1269"/>
    <mergeCell ref="C1270:D1270"/>
    <mergeCell ref="C1274:D1274"/>
    <mergeCell ref="C1275:D1275"/>
    <mergeCell ref="C1276:D1276"/>
    <mergeCell ref="C1254:D1254"/>
    <mergeCell ref="C1255:D1255"/>
    <mergeCell ref="C1260:D1260"/>
    <mergeCell ref="C1261:D1261"/>
    <mergeCell ref="B1265:B1267"/>
    <mergeCell ref="C1265:D1265"/>
    <mergeCell ref="C1266:D1266"/>
    <mergeCell ref="C1292:D1292"/>
    <mergeCell ref="C1293:D1293"/>
    <mergeCell ref="C1294:D1294"/>
    <mergeCell ref="C1304:D1304"/>
    <mergeCell ref="B1319:B1322"/>
    <mergeCell ref="C1321:D1321"/>
    <mergeCell ref="C1279:D1279"/>
    <mergeCell ref="C1280:D1280"/>
    <mergeCell ref="B1284:B1290"/>
    <mergeCell ref="C1284:D1284"/>
    <mergeCell ref="C1285:D1285"/>
    <mergeCell ref="C1287:D1287"/>
    <mergeCell ref="C1288:D1288"/>
    <mergeCell ref="C1289:D1289"/>
    <mergeCell ref="B1335:B1350"/>
    <mergeCell ref="C1335:D1335"/>
    <mergeCell ref="C1336:D1336"/>
    <mergeCell ref="C1337:D1337"/>
    <mergeCell ref="C1343:D1343"/>
    <mergeCell ref="C1349:D1349"/>
    <mergeCell ref="C1324:D1324"/>
    <mergeCell ref="C1325:D1325"/>
    <mergeCell ref="C1328:D1328"/>
    <mergeCell ref="C1329:D1329"/>
    <mergeCell ref="C1331:D1331"/>
    <mergeCell ref="C1332:D1332"/>
    <mergeCell ref="C1368:D1368"/>
    <mergeCell ref="C1374:D1374"/>
    <mergeCell ref="C1377:D1377"/>
    <mergeCell ref="C1378:D1378"/>
    <mergeCell ref="C1379:D1379"/>
    <mergeCell ref="C1389:D1389"/>
    <mergeCell ref="C1352:D1352"/>
    <mergeCell ref="C1353:D1353"/>
    <mergeCell ref="C1354:D1354"/>
    <mergeCell ref="C1357:D1357"/>
    <mergeCell ref="C1358:D1358"/>
    <mergeCell ref="C1359:D1359"/>
    <mergeCell ref="C1440:D1440"/>
    <mergeCell ref="C1441:D1441"/>
    <mergeCell ref="C1451:D1451"/>
    <mergeCell ref="C1465:D1465"/>
    <mergeCell ref="C1468:D1468"/>
    <mergeCell ref="C1515:D1515"/>
    <mergeCell ref="C1409:D1409"/>
    <mergeCell ref="C1412:D1412"/>
    <mergeCell ref="C1416:D1416"/>
    <mergeCell ref="C1434:D1434"/>
    <mergeCell ref="C1435:D1435"/>
    <mergeCell ref="C1439:D1439"/>
    <mergeCell ref="C1557:D1557"/>
    <mergeCell ref="C1560:D1560"/>
    <mergeCell ref="C1566:D1566"/>
    <mergeCell ref="C1567:D1567"/>
    <mergeCell ref="C1574:D1574"/>
    <mergeCell ref="C1580:D1580"/>
    <mergeCell ref="C1516:D1516"/>
    <mergeCell ref="C1522:D1522"/>
    <mergeCell ref="C1526:D1526"/>
    <mergeCell ref="C1527:D1527"/>
    <mergeCell ref="C1528:D1528"/>
    <mergeCell ref="C1538:D1538"/>
    <mergeCell ref="C1612:D1612"/>
    <mergeCell ref="C1613:D1613"/>
    <mergeCell ref="C1614:D1614"/>
    <mergeCell ref="C1622:D1622"/>
    <mergeCell ref="C1630:D1630"/>
    <mergeCell ref="C1638:D1638"/>
    <mergeCell ref="C1581:D1581"/>
    <mergeCell ref="C1582:D1582"/>
    <mergeCell ref="C1588:D1588"/>
    <mergeCell ref="C1594:D1594"/>
    <mergeCell ref="C1607:D1607"/>
    <mergeCell ref="C1608:D1608"/>
    <mergeCell ref="C1643:D1643"/>
    <mergeCell ref="C1656:D1656"/>
    <mergeCell ref="C1657:D1657"/>
    <mergeCell ref="B1665:B1675"/>
    <mergeCell ref="C1665:D1665"/>
    <mergeCell ref="C1666:D1666"/>
    <mergeCell ref="C1667:D1667"/>
    <mergeCell ref="C1671:D1671"/>
    <mergeCell ref="C1674:D1674"/>
    <mergeCell ref="C1686:D1686"/>
    <mergeCell ref="C1687:D1687"/>
    <mergeCell ref="C1692:D1692"/>
    <mergeCell ref="C1693:D1693"/>
    <mergeCell ref="C1694:D1694"/>
    <mergeCell ref="C1697:D1697"/>
    <mergeCell ref="B1677:B1680"/>
    <mergeCell ref="C1677:D1677"/>
    <mergeCell ref="C1678:D1678"/>
    <mergeCell ref="C1679:D1679"/>
    <mergeCell ref="C1681:D1681"/>
    <mergeCell ref="C1682:D1682"/>
    <mergeCell ref="C1714:D1714"/>
    <mergeCell ref="C1717:D1717"/>
    <mergeCell ref="C1720:D1720"/>
    <mergeCell ref="C1721:D1721"/>
    <mergeCell ref="C1724:D1724"/>
    <mergeCell ref="C1725:D1725"/>
    <mergeCell ref="C1701:D1701"/>
    <mergeCell ref="C1702:D1702"/>
    <mergeCell ref="C1708:D1708"/>
    <mergeCell ref="C1709:D1709"/>
    <mergeCell ref="C1712:D1712"/>
    <mergeCell ref="C1713:D1713"/>
    <mergeCell ref="B1736:B1738"/>
    <mergeCell ref="C1736:D1736"/>
    <mergeCell ref="C1737:D1737"/>
    <mergeCell ref="C1740:D1740"/>
    <mergeCell ref="C1741:D1741"/>
    <mergeCell ref="B1742:B1746"/>
    <mergeCell ref="C1742:D1742"/>
    <mergeCell ref="C1745:D1745"/>
    <mergeCell ref="B1728:B1730"/>
    <mergeCell ref="C1728:D1728"/>
    <mergeCell ref="C1729:D1729"/>
    <mergeCell ref="C1732:D1732"/>
    <mergeCell ref="C1733:D1733"/>
    <mergeCell ref="C1735:D1735"/>
    <mergeCell ref="C1761:D1761"/>
    <mergeCell ref="C1762:D1762"/>
    <mergeCell ref="C1763:D1763"/>
    <mergeCell ref="C1768:D1768"/>
    <mergeCell ref="B1771:B1773"/>
    <mergeCell ref="C1771:D1771"/>
    <mergeCell ref="C1772:D1772"/>
    <mergeCell ref="C1748:D1748"/>
    <mergeCell ref="C1749:D1749"/>
    <mergeCell ref="C1752:D1752"/>
    <mergeCell ref="C1753:D1753"/>
    <mergeCell ref="C1754:D1754"/>
    <mergeCell ref="B1757:B1759"/>
    <mergeCell ref="C1757:D1757"/>
    <mergeCell ref="C1758:D1758"/>
    <mergeCell ref="C1782:D1782"/>
    <mergeCell ref="C1788:D1788"/>
    <mergeCell ref="C1791:D1791"/>
    <mergeCell ref="C1792:D1792"/>
    <mergeCell ref="C1793:D1793"/>
    <mergeCell ref="C1796:D1796"/>
    <mergeCell ref="B1775:B1778"/>
    <mergeCell ref="C1775:D1775"/>
    <mergeCell ref="C1776:D1776"/>
    <mergeCell ref="C1777:D1777"/>
    <mergeCell ref="C1780:D1780"/>
    <mergeCell ref="C1781:D1781"/>
    <mergeCell ref="C1810:D1810"/>
    <mergeCell ref="C1814:D1814"/>
    <mergeCell ref="B1819:B1825"/>
    <mergeCell ref="C1819:D1819"/>
    <mergeCell ref="C1820:D1820"/>
    <mergeCell ref="C1821:D1821"/>
    <mergeCell ref="C1823:D1823"/>
    <mergeCell ref="C1824:D1824"/>
    <mergeCell ref="C1798:D1798"/>
    <mergeCell ref="C1799:D1799"/>
    <mergeCell ref="C1802:D1802"/>
    <mergeCell ref="C1803:D1803"/>
    <mergeCell ref="C1808:D1808"/>
    <mergeCell ref="C1809:D1809"/>
    <mergeCell ref="C1834:D1834"/>
    <mergeCell ref="C1835:D1835"/>
    <mergeCell ref="C1836:D1836"/>
    <mergeCell ref="C1844:D1844"/>
    <mergeCell ref="C1867:D1867"/>
    <mergeCell ref="C1870:D1870"/>
    <mergeCell ref="B1827:B1829"/>
    <mergeCell ref="C1827:D1827"/>
    <mergeCell ref="C1828:D1828"/>
    <mergeCell ref="B1830:B1832"/>
    <mergeCell ref="C1830:D1830"/>
    <mergeCell ref="C1831:D1831"/>
    <mergeCell ref="C1911:D1911"/>
    <mergeCell ref="C1914:D1914"/>
    <mergeCell ref="C1916:D1916"/>
    <mergeCell ref="C1970:D1970"/>
    <mergeCell ref="C1971:D1971"/>
    <mergeCell ref="C1975:D1975"/>
    <mergeCell ref="C1873:D1873"/>
    <mergeCell ref="C1874:D1874"/>
    <mergeCell ref="C1878:D1878"/>
    <mergeCell ref="C1879:D1879"/>
    <mergeCell ref="C1880:D1880"/>
    <mergeCell ref="C1888:D1888"/>
    <mergeCell ref="C1990:D1990"/>
    <mergeCell ref="B1993:B1995"/>
    <mergeCell ref="C1993:D1993"/>
    <mergeCell ref="C1994:D1994"/>
    <mergeCell ref="C1997:D1997"/>
    <mergeCell ref="C1998:D1998"/>
    <mergeCell ref="C1976:D1976"/>
    <mergeCell ref="C1979:D1979"/>
    <mergeCell ref="C1980:D1980"/>
    <mergeCell ref="C1984:D1984"/>
    <mergeCell ref="C1985:D1985"/>
    <mergeCell ref="C1989:D1989"/>
    <mergeCell ref="C2015:D2015"/>
    <mergeCell ref="C2023:D2023"/>
    <mergeCell ref="C2088:D2088"/>
    <mergeCell ref="C2089:D2089"/>
    <mergeCell ref="C2096:D2096"/>
    <mergeCell ref="B2103:B2105"/>
    <mergeCell ref="C2103:D2103"/>
    <mergeCell ref="C2104:D2104"/>
    <mergeCell ref="C1999:D1999"/>
    <mergeCell ref="C2003:D2003"/>
    <mergeCell ref="C2004:D2004"/>
    <mergeCell ref="C2007:D2007"/>
    <mergeCell ref="C2008:D2008"/>
    <mergeCell ref="C2009:D2009"/>
    <mergeCell ref="C2145:D2145"/>
    <mergeCell ref="C2149:D2149"/>
    <mergeCell ref="C2194:D2194"/>
    <mergeCell ref="C2195:D2195"/>
    <mergeCell ref="C2201:D2201"/>
    <mergeCell ref="B2205:B2208"/>
    <mergeCell ref="C2205:D2205"/>
    <mergeCell ref="C2206:D2206"/>
    <mergeCell ref="C2110:D2110"/>
    <mergeCell ref="C2111:D2111"/>
    <mergeCell ref="C2114:D2114"/>
    <mergeCell ref="C2115:D2115"/>
    <mergeCell ref="C2116:D2116"/>
    <mergeCell ref="C2124:D2124"/>
    <mergeCell ref="C2242:D2242"/>
    <mergeCell ref="C2251:D2251"/>
    <mergeCell ref="B2256:B2261"/>
    <mergeCell ref="C2260:D2260"/>
    <mergeCell ref="B2263:B2265"/>
    <mergeCell ref="C2263:D2263"/>
    <mergeCell ref="C2264:D2264"/>
    <mergeCell ref="C2214:D2214"/>
    <mergeCell ref="C2233:D2233"/>
    <mergeCell ref="C2234:D2234"/>
    <mergeCell ref="C2235:D2235"/>
    <mergeCell ref="C2240:D2240"/>
    <mergeCell ref="C2241:D2241"/>
    <mergeCell ref="B2320:B2322"/>
    <mergeCell ref="C2320:D2320"/>
    <mergeCell ref="C2321:D2321"/>
    <mergeCell ref="C2287:D2287"/>
    <mergeCell ref="C2288:D2288"/>
    <mergeCell ref="C2289:D2289"/>
    <mergeCell ref="C2298:D2298"/>
    <mergeCell ref="B2304:B2310"/>
    <mergeCell ref="C2309:D2309"/>
    <mergeCell ref="C2325:D2325"/>
    <mergeCell ref="C2326:D2326"/>
    <mergeCell ref="C2327:D2327"/>
    <mergeCell ref="C2331:D2331"/>
    <mergeCell ref="C2332:D2332"/>
    <mergeCell ref="C2335:D2335"/>
    <mergeCell ref="C2311:D2311"/>
    <mergeCell ref="C2312:D2312"/>
    <mergeCell ref="C2313:D2313"/>
    <mergeCell ref="C2316:D2316"/>
    <mergeCell ref="C2317:D2317"/>
    <mergeCell ref="C2377:D2377"/>
    <mergeCell ref="C2382:D2382"/>
    <mergeCell ref="C2383:D2383"/>
    <mergeCell ref="C2384:D2384"/>
    <mergeCell ref="C2392:D2392"/>
    <mergeCell ref="C2409:D2409"/>
    <mergeCell ref="C2351:D2351"/>
    <mergeCell ref="C2352:D2352"/>
    <mergeCell ref="C2370:D2370"/>
    <mergeCell ref="C2371:D2371"/>
    <mergeCell ref="C2372:D2372"/>
    <mergeCell ref="C2376:D2376"/>
    <mergeCell ref="C2424:D2424"/>
    <mergeCell ref="C2425:D2425"/>
    <mergeCell ref="B2430:B2432"/>
    <mergeCell ref="C2430:D2430"/>
    <mergeCell ref="C2431:D2431"/>
    <mergeCell ref="C2433:D2433"/>
    <mergeCell ref="C2412:D2412"/>
    <mergeCell ref="C2413:D2413"/>
    <mergeCell ref="C2414:D2414"/>
    <mergeCell ref="C2416:D2416"/>
    <mergeCell ref="C2417:D2417"/>
    <mergeCell ref="C2423:D2423"/>
    <mergeCell ref="C2447:D2447"/>
    <mergeCell ref="C2448:D2448"/>
    <mergeCell ref="C2449:D2449"/>
    <mergeCell ref="C2453:D2453"/>
    <mergeCell ref="C2454:D2454"/>
    <mergeCell ref="B2457:B2459"/>
    <mergeCell ref="C2457:D2457"/>
    <mergeCell ref="C2458:D2458"/>
    <mergeCell ref="C2434:D2434"/>
    <mergeCell ref="B2437:B2441"/>
    <mergeCell ref="C2437:D2437"/>
    <mergeCell ref="C2438:D2438"/>
    <mergeCell ref="C2439:D2439"/>
    <mergeCell ref="C2444:D2444"/>
    <mergeCell ref="C2472:D2472"/>
    <mergeCell ref="C2473:D2473"/>
    <mergeCell ref="B2476:B2484"/>
    <mergeCell ref="C2476:D2476"/>
    <mergeCell ref="C2477:D2477"/>
    <mergeCell ref="C2478:D2478"/>
    <mergeCell ref="C2483:D2483"/>
    <mergeCell ref="B2461:B2470"/>
    <mergeCell ref="C2461:D2461"/>
    <mergeCell ref="C2462:D2462"/>
    <mergeCell ref="C2463:D2463"/>
    <mergeCell ref="C2468:D2468"/>
    <mergeCell ref="C2471:D2471"/>
    <mergeCell ref="C2499:D2499"/>
    <mergeCell ref="C2500:D2500"/>
    <mergeCell ref="C2505:D2505"/>
    <mergeCell ref="B2509:B2521"/>
    <mergeCell ref="C2509:D2509"/>
    <mergeCell ref="C2510:D2510"/>
    <mergeCell ref="C2511:D2511"/>
    <mergeCell ref="C2517:D2517"/>
    <mergeCell ref="B2487:B2496"/>
    <mergeCell ref="C2487:D2487"/>
    <mergeCell ref="C2488:D2488"/>
    <mergeCell ref="C2489:D2489"/>
    <mergeCell ref="C2494:D2494"/>
    <mergeCell ref="C2498:D2498"/>
    <mergeCell ref="C2533:D2533"/>
    <mergeCell ref="C2534:D2534"/>
    <mergeCell ref="C2537:D2537"/>
    <mergeCell ref="C2541:D2541"/>
    <mergeCell ref="C2545:D2545"/>
    <mergeCell ref="C2546:D2546"/>
    <mergeCell ref="C2522:D2522"/>
    <mergeCell ref="C2523:D2523"/>
    <mergeCell ref="C2525:D2525"/>
    <mergeCell ref="C2526:D2526"/>
    <mergeCell ref="C2527:D2527"/>
    <mergeCell ref="C2532:D2532"/>
    <mergeCell ref="B2559:B2561"/>
    <mergeCell ref="C2559:D2559"/>
    <mergeCell ref="C2560:D2560"/>
    <mergeCell ref="C2563:D2563"/>
    <mergeCell ref="C2564:D2564"/>
    <mergeCell ref="C2565:D2565"/>
    <mergeCell ref="B2550:B2553"/>
    <mergeCell ref="C2550:D2550"/>
    <mergeCell ref="C2551:D2551"/>
    <mergeCell ref="C2554:D2554"/>
    <mergeCell ref="C2555:D2555"/>
    <mergeCell ref="C2556:D2556"/>
    <mergeCell ref="C2592:D2592"/>
    <mergeCell ref="C2593:D2593"/>
    <mergeCell ref="C2594:D2594"/>
    <mergeCell ref="B2597:B2604"/>
    <mergeCell ref="C2597:D2597"/>
    <mergeCell ref="C2598:D2598"/>
    <mergeCell ref="C2602:D2602"/>
    <mergeCell ref="C2603:D2603"/>
    <mergeCell ref="C2568:D2568"/>
    <mergeCell ref="C2569:D2569"/>
    <mergeCell ref="C2574:D2574"/>
    <mergeCell ref="C2575:D2575"/>
    <mergeCell ref="C2583:D2583"/>
    <mergeCell ref="B2587:B2591"/>
    <mergeCell ref="C2587:D2587"/>
    <mergeCell ref="C2588:D2588"/>
    <mergeCell ref="B2622:B2624"/>
    <mergeCell ref="C2622:D2622"/>
    <mergeCell ref="C2623:D2623"/>
    <mergeCell ref="C2628:D2628"/>
    <mergeCell ref="C2629:D2629"/>
    <mergeCell ref="C2634:D2634"/>
    <mergeCell ref="C2606:D2606"/>
    <mergeCell ref="C2607:D2607"/>
    <mergeCell ref="C2611:D2611"/>
    <mergeCell ref="C2616:D2616"/>
    <mergeCell ref="C2617:D2617"/>
    <mergeCell ref="C2618:D2618"/>
    <mergeCell ref="C2649:D2649"/>
    <mergeCell ref="C2650:D2650"/>
    <mergeCell ref="C2651:D2651"/>
    <mergeCell ref="C2654:D2654"/>
    <mergeCell ref="C2655:D2655"/>
    <mergeCell ref="C2656:D2656"/>
    <mergeCell ref="B2637:B2642"/>
    <mergeCell ref="C2637:D2637"/>
    <mergeCell ref="C2638:D2638"/>
    <mergeCell ref="C2639:D2639"/>
    <mergeCell ref="C2642:D2642"/>
    <mergeCell ref="C2647:D2647"/>
    <mergeCell ref="C2701:D2701"/>
    <mergeCell ref="B2708:B2710"/>
    <mergeCell ref="C2708:D2708"/>
    <mergeCell ref="C2709:D2709"/>
    <mergeCell ref="C2712:D2712"/>
    <mergeCell ref="C2713:D2713"/>
    <mergeCell ref="C2661:D2661"/>
    <mergeCell ref="C2665:D2665"/>
    <mergeCell ref="C2670:D2670"/>
    <mergeCell ref="C2692:D2692"/>
    <mergeCell ref="C2693:D2693"/>
    <mergeCell ref="C2700:D2700"/>
    <mergeCell ref="C2751:D2751"/>
    <mergeCell ref="C2752:D2752"/>
    <mergeCell ref="C2755:D2755"/>
    <mergeCell ref="C2759:D2759"/>
    <mergeCell ref="B2763:B2764"/>
    <mergeCell ref="C2763:D2763"/>
    <mergeCell ref="C2764:D2764"/>
    <mergeCell ref="C2714:D2714"/>
    <mergeCell ref="C2722:D2722"/>
    <mergeCell ref="C2741:D2741"/>
    <mergeCell ref="C2744:D2744"/>
    <mergeCell ref="C2745:D2745"/>
    <mergeCell ref="C2750:D2750"/>
    <mergeCell ref="C2776:D2776"/>
    <mergeCell ref="C2780:D2780"/>
    <mergeCell ref="C2784:D2784"/>
    <mergeCell ref="C2788:D2788"/>
    <mergeCell ref="C2789:D2789"/>
    <mergeCell ref="C2793:D2793"/>
    <mergeCell ref="C2766:D2766"/>
    <mergeCell ref="C2767:D2767"/>
    <mergeCell ref="C2770:D2770"/>
    <mergeCell ref="C2771:D2771"/>
    <mergeCell ref="C2774:D2774"/>
    <mergeCell ref="C2775:D2775"/>
    <mergeCell ref="A2805:D2805"/>
    <mergeCell ref="A2806:D2806"/>
    <mergeCell ref="A2807:D2807"/>
    <mergeCell ref="A2808:D2808"/>
    <mergeCell ref="A2809:D2809"/>
    <mergeCell ref="A2810:D2810"/>
    <mergeCell ref="C2794:D2794"/>
    <mergeCell ref="B2798:B2799"/>
    <mergeCell ref="C2798:D2798"/>
    <mergeCell ref="C2799:D2799"/>
    <mergeCell ref="C2802:D2802"/>
    <mergeCell ref="C2803:D2803"/>
    <mergeCell ref="A2817:D2817"/>
    <mergeCell ref="A2818:D2818"/>
    <mergeCell ref="A2819:D2819"/>
    <mergeCell ref="A2820:D2820"/>
    <mergeCell ref="A2821:D2821"/>
    <mergeCell ref="A2826:D2826"/>
    <mergeCell ref="A2811:D2811"/>
    <mergeCell ref="A2812:D2812"/>
    <mergeCell ref="A2813:D2813"/>
    <mergeCell ref="A2814:D2814"/>
    <mergeCell ref="A2815:D2815"/>
    <mergeCell ref="A2816:D2816"/>
  </mergeCells>
  <pageMargins left="0.70866141732283461" right="0.70866141732283461" top="0.74803149606299213" bottom="0.74803149606299213" header="0.31496062992125984" footer="0.31496062992125984"/>
  <pageSetup paperSize="9" scale="61" fitToHeight="0" orientation="portrait" horizontalDpi="4294967295" verticalDpi="4294967295" r:id="rId1"/>
  <headerFooter>
    <oddFooter>Strona &amp;P z &amp;N</oddFooter>
  </headerFooter>
  <rowBreaks count="30" manualBreakCount="30">
    <brk id="110" max="7" man="1"/>
    <brk id="173" max="7" man="1"/>
    <brk id="240" max="7" man="1"/>
    <brk id="304" max="7" man="1"/>
    <brk id="385" max="7" man="1"/>
    <brk id="468" max="7" man="1"/>
    <brk id="574" max="7" man="1"/>
    <brk id="671" max="7" man="1"/>
    <brk id="750" max="7" man="1"/>
    <brk id="840" max="7" man="1"/>
    <brk id="909" max="7" man="1"/>
    <brk id="983" max="7" man="1"/>
    <brk id="1078" max="7" man="1"/>
    <brk id="1153" max="7" man="1"/>
    <brk id="1212" max="7" man="1"/>
    <brk id="1372" max="7" man="1"/>
    <brk id="1543" max="7" man="1"/>
    <brk id="1637" max="7" man="1"/>
    <brk id="1722" max="7" man="1"/>
    <brk id="1789" max="7" man="1"/>
    <brk id="2005" max="7" man="1"/>
    <brk id="2087" max="7" man="1"/>
    <brk id="2153" max="7" man="1"/>
    <brk id="2416" max="7" man="1"/>
    <brk id="2502" max="7" man="1"/>
    <brk id="2563" max="7" man="1"/>
    <brk id="2610" max="7" man="1"/>
    <brk id="2664" max="7" man="1"/>
    <brk id="2748" max="7" man="1"/>
    <brk id="280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WTY225"/>
  <sheetViews>
    <sheetView tabSelected="1" view="pageBreakPreview" topLeftCell="A46" zoomScale="80" zoomScaleNormal="90" zoomScaleSheetLayoutView="80" workbookViewId="0">
      <selection activeCell="C149" sqref="C149"/>
    </sheetView>
  </sheetViews>
  <sheetFormatPr defaultColWidth="11.28515625" defaultRowHeight="18"/>
  <cols>
    <col min="1" max="1" width="10" style="45" customWidth="1"/>
    <col min="2" max="2" width="12.42578125" style="46" customWidth="1"/>
    <col min="3" max="3" width="140.28515625" style="47" customWidth="1"/>
    <col min="4" max="4" width="21.5703125" style="48" customWidth="1"/>
    <col min="5" max="5" width="43.28515625" style="51" customWidth="1"/>
    <col min="6" max="7" width="10.28515625" style="1" customWidth="1"/>
    <col min="8" max="8" width="32.5703125" style="1" customWidth="1"/>
    <col min="9" max="215" width="10.28515625" style="1" customWidth="1"/>
    <col min="216" max="216" width="11.28515625" style="1"/>
    <col min="217" max="217" width="4.5703125" style="1" customWidth="1"/>
    <col min="218" max="218" width="27.85546875" style="1" customWidth="1"/>
    <col min="219" max="219" width="18.7109375" style="1" customWidth="1"/>
    <col min="220" max="220" width="17.85546875" style="1" customWidth="1"/>
    <col min="221" max="221" width="118.140625" style="1" customWidth="1"/>
    <col min="222" max="471" width="10.28515625" style="1" customWidth="1"/>
    <col min="472" max="472" width="11.28515625" style="1"/>
    <col min="473" max="473" width="4.5703125" style="1" customWidth="1"/>
    <col min="474" max="474" width="27.85546875" style="1" customWidth="1"/>
    <col min="475" max="475" width="18.7109375" style="1" customWidth="1"/>
    <col min="476" max="476" width="17.85546875" style="1" customWidth="1"/>
    <col min="477" max="477" width="118.140625" style="1" customWidth="1"/>
    <col min="478" max="727" width="10.28515625" style="1" customWidth="1"/>
    <col min="728" max="728" width="11.28515625" style="1"/>
    <col min="729" max="729" width="4.5703125" style="1" customWidth="1"/>
    <col min="730" max="730" width="27.85546875" style="1" customWidth="1"/>
    <col min="731" max="731" width="18.7109375" style="1" customWidth="1"/>
    <col min="732" max="732" width="17.85546875" style="1" customWidth="1"/>
    <col min="733" max="733" width="118.140625" style="1" customWidth="1"/>
    <col min="734" max="983" width="10.28515625" style="1" customWidth="1"/>
    <col min="984" max="984" width="11.28515625" style="1"/>
    <col min="985" max="985" width="4.5703125" style="1" customWidth="1"/>
    <col min="986" max="986" width="27.85546875" style="1" customWidth="1"/>
    <col min="987" max="987" width="18.7109375" style="1" customWidth="1"/>
    <col min="988" max="988" width="17.85546875" style="1" customWidth="1"/>
    <col min="989" max="989" width="118.140625" style="1" customWidth="1"/>
    <col min="990" max="1239" width="10.28515625" style="1" customWidth="1"/>
    <col min="1240" max="1240" width="11.28515625" style="1"/>
    <col min="1241" max="1241" width="4.5703125" style="1" customWidth="1"/>
    <col min="1242" max="1242" width="27.85546875" style="1" customWidth="1"/>
    <col min="1243" max="1243" width="18.7109375" style="1" customWidth="1"/>
    <col min="1244" max="1244" width="17.85546875" style="1" customWidth="1"/>
    <col min="1245" max="1245" width="118.140625" style="1" customWidth="1"/>
    <col min="1246" max="1495" width="10.28515625" style="1" customWidth="1"/>
    <col min="1496" max="1496" width="11.28515625" style="1"/>
    <col min="1497" max="1497" width="4.5703125" style="1" customWidth="1"/>
    <col min="1498" max="1498" width="27.85546875" style="1" customWidth="1"/>
    <col min="1499" max="1499" width="18.7109375" style="1" customWidth="1"/>
    <col min="1500" max="1500" width="17.85546875" style="1" customWidth="1"/>
    <col min="1501" max="1501" width="118.140625" style="1" customWidth="1"/>
    <col min="1502" max="1751" width="10.28515625" style="1" customWidth="1"/>
    <col min="1752" max="1752" width="11.28515625" style="1"/>
    <col min="1753" max="1753" width="4.5703125" style="1" customWidth="1"/>
    <col min="1754" max="1754" width="27.85546875" style="1" customWidth="1"/>
    <col min="1755" max="1755" width="18.7109375" style="1" customWidth="1"/>
    <col min="1756" max="1756" width="17.85546875" style="1" customWidth="1"/>
    <col min="1757" max="1757" width="118.140625" style="1" customWidth="1"/>
    <col min="1758" max="2007" width="10.28515625" style="1" customWidth="1"/>
    <col min="2008" max="2008" width="11.28515625" style="1"/>
    <col min="2009" max="2009" width="4.5703125" style="1" customWidth="1"/>
    <col min="2010" max="2010" width="27.85546875" style="1" customWidth="1"/>
    <col min="2011" max="2011" width="18.7109375" style="1" customWidth="1"/>
    <col min="2012" max="2012" width="17.85546875" style="1" customWidth="1"/>
    <col min="2013" max="2013" width="118.140625" style="1" customWidth="1"/>
    <col min="2014" max="2263" width="10.28515625" style="1" customWidth="1"/>
    <col min="2264" max="2264" width="11.28515625" style="1"/>
    <col min="2265" max="2265" width="4.5703125" style="1" customWidth="1"/>
    <col min="2266" max="2266" width="27.85546875" style="1" customWidth="1"/>
    <col min="2267" max="2267" width="18.7109375" style="1" customWidth="1"/>
    <col min="2268" max="2268" width="17.85546875" style="1" customWidth="1"/>
    <col min="2269" max="2269" width="118.140625" style="1" customWidth="1"/>
    <col min="2270" max="2519" width="10.28515625" style="1" customWidth="1"/>
    <col min="2520" max="2520" width="11.28515625" style="1"/>
    <col min="2521" max="2521" width="4.5703125" style="1" customWidth="1"/>
    <col min="2522" max="2522" width="27.85546875" style="1" customWidth="1"/>
    <col min="2523" max="2523" width="18.7109375" style="1" customWidth="1"/>
    <col min="2524" max="2524" width="17.85546875" style="1" customWidth="1"/>
    <col min="2525" max="2525" width="118.140625" style="1" customWidth="1"/>
    <col min="2526" max="2775" width="10.28515625" style="1" customWidth="1"/>
    <col min="2776" max="2776" width="11.28515625" style="1"/>
    <col min="2777" max="2777" width="4.5703125" style="1" customWidth="1"/>
    <col min="2778" max="2778" width="27.85546875" style="1" customWidth="1"/>
    <col min="2779" max="2779" width="18.7109375" style="1" customWidth="1"/>
    <col min="2780" max="2780" width="17.85546875" style="1" customWidth="1"/>
    <col min="2781" max="2781" width="118.140625" style="1" customWidth="1"/>
    <col min="2782" max="3031" width="10.28515625" style="1" customWidth="1"/>
    <col min="3032" max="3032" width="11.28515625" style="1"/>
    <col min="3033" max="3033" width="4.5703125" style="1" customWidth="1"/>
    <col min="3034" max="3034" width="27.85546875" style="1" customWidth="1"/>
    <col min="3035" max="3035" width="18.7109375" style="1" customWidth="1"/>
    <col min="3036" max="3036" width="17.85546875" style="1" customWidth="1"/>
    <col min="3037" max="3037" width="118.140625" style="1" customWidth="1"/>
    <col min="3038" max="3287" width="10.28515625" style="1" customWidth="1"/>
    <col min="3288" max="3288" width="11.28515625" style="1"/>
    <col min="3289" max="3289" width="4.5703125" style="1" customWidth="1"/>
    <col min="3290" max="3290" width="27.85546875" style="1" customWidth="1"/>
    <col min="3291" max="3291" width="18.7109375" style="1" customWidth="1"/>
    <col min="3292" max="3292" width="17.85546875" style="1" customWidth="1"/>
    <col min="3293" max="3293" width="118.140625" style="1" customWidth="1"/>
    <col min="3294" max="3543" width="10.28515625" style="1" customWidth="1"/>
    <col min="3544" max="3544" width="11.28515625" style="1"/>
    <col min="3545" max="3545" width="4.5703125" style="1" customWidth="1"/>
    <col min="3546" max="3546" width="27.85546875" style="1" customWidth="1"/>
    <col min="3547" max="3547" width="18.7109375" style="1" customWidth="1"/>
    <col min="3548" max="3548" width="17.85546875" style="1" customWidth="1"/>
    <col min="3549" max="3549" width="118.140625" style="1" customWidth="1"/>
    <col min="3550" max="3799" width="10.28515625" style="1" customWidth="1"/>
    <col min="3800" max="3800" width="11.28515625" style="1"/>
    <col min="3801" max="3801" width="4.5703125" style="1" customWidth="1"/>
    <col min="3802" max="3802" width="27.85546875" style="1" customWidth="1"/>
    <col min="3803" max="3803" width="18.7109375" style="1" customWidth="1"/>
    <col min="3804" max="3804" width="17.85546875" style="1" customWidth="1"/>
    <col min="3805" max="3805" width="118.140625" style="1" customWidth="1"/>
    <col min="3806" max="4055" width="10.28515625" style="1" customWidth="1"/>
    <col min="4056" max="4056" width="11.28515625" style="1"/>
    <col min="4057" max="4057" width="4.5703125" style="1" customWidth="1"/>
    <col min="4058" max="4058" width="27.85546875" style="1" customWidth="1"/>
    <col min="4059" max="4059" width="18.7109375" style="1" customWidth="1"/>
    <col min="4060" max="4060" width="17.85546875" style="1" customWidth="1"/>
    <col min="4061" max="4061" width="118.140625" style="1" customWidth="1"/>
    <col min="4062" max="4311" width="10.28515625" style="1" customWidth="1"/>
    <col min="4312" max="4312" width="11.28515625" style="1"/>
    <col min="4313" max="4313" width="4.5703125" style="1" customWidth="1"/>
    <col min="4314" max="4314" width="27.85546875" style="1" customWidth="1"/>
    <col min="4315" max="4315" width="18.7109375" style="1" customWidth="1"/>
    <col min="4316" max="4316" width="17.85546875" style="1" customWidth="1"/>
    <col min="4317" max="4317" width="118.140625" style="1" customWidth="1"/>
    <col min="4318" max="4567" width="10.28515625" style="1" customWidth="1"/>
    <col min="4568" max="4568" width="11.28515625" style="1"/>
    <col min="4569" max="4569" width="4.5703125" style="1" customWidth="1"/>
    <col min="4570" max="4570" width="27.85546875" style="1" customWidth="1"/>
    <col min="4571" max="4571" width="18.7109375" style="1" customWidth="1"/>
    <col min="4572" max="4572" width="17.85546875" style="1" customWidth="1"/>
    <col min="4573" max="4573" width="118.140625" style="1" customWidth="1"/>
    <col min="4574" max="4823" width="10.28515625" style="1" customWidth="1"/>
    <col min="4824" max="4824" width="11.28515625" style="1"/>
    <col min="4825" max="4825" width="4.5703125" style="1" customWidth="1"/>
    <col min="4826" max="4826" width="27.85546875" style="1" customWidth="1"/>
    <col min="4827" max="4827" width="18.7109375" style="1" customWidth="1"/>
    <col min="4828" max="4828" width="17.85546875" style="1" customWidth="1"/>
    <col min="4829" max="4829" width="118.140625" style="1" customWidth="1"/>
    <col min="4830" max="5079" width="10.28515625" style="1" customWidth="1"/>
    <col min="5080" max="5080" width="11.28515625" style="1"/>
    <col min="5081" max="5081" width="4.5703125" style="1" customWidth="1"/>
    <col min="5082" max="5082" width="27.85546875" style="1" customWidth="1"/>
    <col min="5083" max="5083" width="18.7109375" style="1" customWidth="1"/>
    <col min="5084" max="5084" width="17.85546875" style="1" customWidth="1"/>
    <col min="5085" max="5085" width="118.140625" style="1" customWidth="1"/>
    <col min="5086" max="5335" width="10.28515625" style="1" customWidth="1"/>
    <col min="5336" max="5336" width="11.28515625" style="1"/>
    <col min="5337" max="5337" width="4.5703125" style="1" customWidth="1"/>
    <col min="5338" max="5338" width="27.85546875" style="1" customWidth="1"/>
    <col min="5339" max="5339" width="18.7109375" style="1" customWidth="1"/>
    <col min="5340" max="5340" width="17.85546875" style="1" customWidth="1"/>
    <col min="5341" max="5341" width="118.140625" style="1" customWidth="1"/>
    <col min="5342" max="5591" width="10.28515625" style="1" customWidth="1"/>
    <col min="5592" max="5592" width="11.28515625" style="1"/>
    <col min="5593" max="5593" width="4.5703125" style="1" customWidth="1"/>
    <col min="5594" max="5594" width="27.85546875" style="1" customWidth="1"/>
    <col min="5595" max="5595" width="18.7109375" style="1" customWidth="1"/>
    <col min="5596" max="5596" width="17.85546875" style="1" customWidth="1"/>
    <col min="5597" max="5597" width="118.140625" style="1" customWidth="1"/>
    <col min="5598" max="5847" width="10.28515625" style="1" customWidth="1"/>
    <col min="5848" max="5848" width="11.28515625" style="1"/>
    <col min="5849" max="5849" width="4.5703125" style="1" customWidth="1"/>
    <col min="5850" max="5850" width="27.85546875" style="1" customWidth="1"/>
    <col min="5851" max="5851" width="18.7109375" style="1" customWidth="1"/>
    <col min="5852" max="5852" width="17.85546875" style="1" customWidth="1"/>
    <col min="5853" max="5853" width="118.140625" style="1" customWidth="1"/>
    <col min="5854" max="6103" width="10.28515625" style="1" customWidth="1"/>
    <col min="6104" max="6104" width="11.28515625" style="1"/>
    <col min="6105" max="6105" width="4.5703125" style="1" customWidth="1"/>
    <col min="6106" max="6106" width="27.85546875" style="1" customWidth="1"/>
    <col min="6107" max="6107" width="18.7109375" style="1" customWidth="1"/>
    <col min="6108" max="6108" width="17.85546875" style="1" customWidth="1"/>
    <col min="6109" max="6109" width="118.140625" style="1" customWidth="1"/>
    <col min="6110" max="6359" width="10.28515625" style="1" customWidth="1"/>
    <col min="6360" max="6360" width="11.28515625" style="1"/>
    <col min="6361" max="6361" width="4.5703125" style="1" customWidth="1"/>
    <col min="6362" max="6362" width="27.85546875" style="1" customWidth="1"/>
    <col min="6363" max="6363" width="18.7109375" style="1" customWidth="1"/>
    <col min="6364" max="6364" width="17.85546875" style="1" customWidth="1"/>
    <col min="6365" max="6365" width="118.140625" style="1" customWidth="1"/>
    <col min="6366" max="6615" width="10.28515625" style="1" customWidth="1"/>
    <col min="6616" max="6616" width="11.28515625" style="1"/>
    <col min="6617" max="6617" width="4.5703125" style="1" customWidth="1"/>
    <col min="6618" max="6618" width="27.85546875" style="1" customWidth="1"/>
    <col min="6619" max="6619" width="18.7109375" style="1" customWidth="1"/>
    <col min="6620" max="6620" width="17.85546875" style="1" customWidth="1"/>
    <col min="6621" max="6621" width="118.140625" style="1" customWidth="1"/>
    <col min="6622" max="6871" width="10.28515625" style="1" customWidth="1"/>
    <col min="6872" max="6872" width="11.28515625" style="1"/>
    <col min="6873" max="6873" width="4.5703125" style="1" customWidth="1"/>
    <col min="6874" max="6874" width="27.85546875" style="1" customWidth="1"/>
    <col min="6875" max="6875" width="18.7109375" style="1" customWidth="1"/>
    <col min="6876" max="6876" width="17.85546875" style="1" customWidth="1"/>
    <col min="6877" max="6877" width="118.140625" style="1" customWidth="1"/>
    <col min="6878" max="7127" width="10.28515625" style="1" customWidth="1"/>
    <col min="7128" max="7128" width="11.28515625" style="1"/>
    <col min="7129" max="7129" width="4.5703125" style="1" customWidth="1"/>
    <col min="7130" max="7130" width="27.85546875" style="1" customWidth="1"/>
    <col min="7131" max="7131" width="18.7109375" style="1" customWidth="1"/>
    <col min="7132" max="7132" width="17.85546875" style="1" customWidth="1"/>
    <col min="7133" max="7133" width="118.140625" style="1" customWidth="1"/>
    <col min="7134" max="7383" width="10.28515625" style="1" customWidth="1"/>
    <col min="7384" max="7384" width="11.28515625" style="1"/>
    <col min="7385" max="7385" width="4.5703125" style="1" customWidth="1"/>
    <col min="7386" max="7386" width="27.85546875" style="1" customWidth="1"/>
    <col min="7387" max="7387" width="18.7109375" style="1" customWidth="1"/>
    <col min="7388" max="7388" width="17.85546875" style="1" customWidth="1"/>
    <col min="7389" max="7389" width="118.140625" style="1" customWidth="1"/>
    <col min="7390" max="7639" width="10.28515625" style="1" customWidth="1"/>
    <col min="7640" max="7640" width="11.28515625" style="1"/>
    <col min="7641" max="7641" width="4.5703125" style="1" customWidth="1"/>
    <col min="7642" max="7642" width="27.85546875" style="1" customWidth="1"/>
    <col min="7643" max="7643" width="18.7109375" style="1" customWidth="1"/>
    <col min="7644" max="7644" width="17.85546875" style="1" customWidth="1"/>
    <col min="7645" max="7645" width="118.140625" style="1" customWidth="1"/>
    <col min="7646" max="7895" width="10.28515625" style="1" customWidth="1"/>
    <col min="7896" max="7896" width="11.28515625" style="1"/>
    <col min="7897" max="7897" width="4.5703125" style="1" customWidth="1"/>
    <col min="7898" max="7898" width="27.85546875" style="1" customWidth="1"/>
    <col min="7899" max="7899" width="18.7109375" style="1" customWidth="1"/>
    <col min="7900" max="7900" width="17.85546875" style="1" customWidth="1"/>
    <col min="7901" max="7901" width="118.140625" style="1" customWidth="1"/>
    <col min="7902" max="8151" width="10.28515625" style="1" customWidth="1"/>
    <col min="8152" max="8152" width="11.28515625" style="1"/>
    <col min="8153" max="8153" width="4.5703125" style="1" customWidth="1"/>
    <col min="8154" max="8154" width="27.85546875" style="1" customWidth="1"/>
    <col min="8155" max="8155" width="18.7109375" style="1" customWidth="1"/>
    <col min="8156" max="8156" width="17.85546875" style="1" customWidth="1"/>
    <col min="8157" max="8157" width="118.140625" style="1" customWidth="1"/>
    <col min="8158" max="8407" width="10.28515625" style="1" customWidth="1"/>
    <col min="8408" max="8408" width="11.28515625" style="1"/>
    <col min="8409" max="8409" width="4.5703125" style="1" customWidth="1"/>
    <col min="8410" max="8410" width="27.85546875" style="1" customWidth="1"/>
    <col min="8411" max="8411" width="18.7109375" style="1" customWidth="1"/>
    <col min="8412" max="8412" width="17.85546875" style="1" customWidth="1"/>
    <col min="8413" max="8413" width="118.140625" style="1" customWidth="1"/>
    <col min="8414" max="8663" width="10.28515625" style="1" customWidth="1"/>
    <col min="8664" max="8664" width="11.28515625" style="1"/>
    <col min="8665" max="8665" width="4.5703125" style="1" customWidth="1"/>
    <col min="8666" max="8666" width="27.85546875" style="1" customWidth="1"/>
    <col min="8667" max="8667" width="18.7109375" style="1" customWidth="1"/>
    <col min="8668" max="8668" width="17.85546875" style="1" customWidth="1"/>
    <col min="8669" max="8669" width="118.140625" style="1" customWidth="1"/>
    <col min="8670" max="8919" width="10.28515625" style="1" customWidth="1"/>
    <col min="8920" max="8920" width="11.28515625" style="1"/>
    <col min="8921" max="8921" width="4.5703125" style="1" customWidth="1"/>
    <col min="8922" max="8922" width="27.85546875" style="1" customWidth="1"/>
    <col min="8923" max="8923" width="18.7109375" style="1" customWidth="1"/>
    <col min="8924" max="8924" width="17.85546875" style="1" customWidth="1"/>
    <col min="8925" max="8925" width="118.140625" style="1" customWidth="1"/>
    <col min="8926" max="9175" width="10.28515625" style="1" customWidth="1"/>
    <col min="9176" max="9176" width="11.28515625" style="1"/>
    <col min="9177" max="9177" width="4.5703125" style="1" customWidth="1"/>
    <col min="9178" max="9178" width="27.85546875" style="1" customWidth="1"/>
    <col min="9179" max="9179" width="18.7109375" style="1" customWidth="1"/>
    <col min="9180" max="9180" width="17.85546875" style="1" customWidth="1"/>
    <col min="9181" max="9181" width="118.140625" style="1" customWidth="1"/>
    <col min="9182" max="9431" width="10.28515625" style="1" customWidth="1"/>
    <col min="9432" max="9432" width="11.28515625" style="1"/>
    <col min="9433" max="9433" width="4.5703125" style="1" customWidth="1"/>
    <col min="9434" max="9434" width="27.85546875" style="1" customWidth="1"/>
    <col min="9435" max="9435" width="18.7109375" style="1" customWidth="1"/>
    <col min="9436" max="9436" width="17.85546875" style="1" customWidth="1"/>
    <col min="9437" max="9437" width="118.140625" style="1" customWidth="1"/>
    <col min="9438" max="9687" width="10.28515625" style="1" customWidth="1"/>
    <col min="9688" max="9688" width="11.28515625" style="1"/>
    <col min="9689" max="9689" width="4.5703125" style="1" customWidth="1"/>
    <col min="9690" max="9690" width="27.85546875" style="1" customWidth="1"/>
    <col min="9691" max="9691" width="18.7109375" style="1" customWidth="1"/>
    <col min="9692" max="9692" width="17.85546875" style="1" customWidth="1"/>
    <col min="9693" max="9693" width="118.140625" style="1" customWidth="1"/>
    <col min="9694" max="9943" width="10.28515625" style="1" customWidth="1"/>
    <col min="9944" max="9944" width="11.28515625" style="1"/>
    <col min="9945" max="9945" width="4.5703125" style="1" customWidth="1"/>
    <col min="9946" max="9946" width="27.85546875" style="1" customWidth="1"/>
    <col min="9947" max="9947" width="18.7109375" style="1" customWidth="1"/>
    <col min="9948" max="9948" width="17.85546875" style="1" customWidth="1"/>
    <col min="9949" max="9949" width="118.140625" style="1" customWidth="1"/>
    <col min="9950" max="10199" width="10.28515625" style="1" customWidth="1"/>
    <col min="10200" max="10200" width="11.28515625" style="1"/>
    <col min="10201" max="10201" width="4.5703125" style="1" customWidth="1"/>
    <col min="10202" max="10202" width="27.85546875" style="1" customWidth="1"/>
    <col min="10203" max="10203" width="18.7109375" style="1" customWidth="1"/>
    <col min="10204" max="10204" width="17.85546875" style="1" customWidth="1"/>
    <col min="10205" max="10205" width="118.140625" style="1" customWidth="1"/>
    <col min="10206" max="10455" width="10.28515625" style="1" customWidth="1"/>
    <col min="10456" max="10456" width="11.28515625" style="1"/>
    <col min="10457" max="10457" width="4.5703125" style="1" customWidth="1"/>
    <col min="10458" max="10458" width="27.85546875" style="1" customWidth="1"/>
    <col min="10459" max="10459" width="18.7109375" style="1" customWidth="1"/>
    <col min="10460" max="10460" width="17.85546875" style="1" customWidth="1"/>
    <col min="10461" max="10461" width="118.140625" style="1" customWidth="1"/>
    <col min="10462" max="10711" width="10.28515625" style="1" customWidth="1"/>
    <col min="10712" max="10712" width="11.28515625" style="1"/>
    <col min="10713" max="10713" width="4.5703125" style="1" customWidth="1"/>
    <col min="10714" max="10714" width="27.85546875" style="1" customWidth="1"/>
    <col min="10715" max="10715" width="18.7109375" style="1" customWidth="1"/>
    <col min="10716" max="10716" width="17.85546875" style="1" customWidth="1"/>
    <col min="10717" max="10717" width="118.140625" style="1" customWidth="1"/>
    <col min="10718" max="10967" width="10.28515625" style="1" customWidth="1"/>
    <col min="10968" max="10968" width="11.28515625" style="1"/>
    <col min="10969" max="10969" width="4.5703125" style="1" customWidth="1"/>
    <col min="10970" max="10970" width="27.85546875" style="1" customWidth="1"/>
    <col min="10971" max="10971" width="18.7109375" style="1" customWidth="1"/>
    <col min="10972" max="10972" width="17.85546875" style="1" customWidth="1"/>
    <col min="10973" max="10973" width="118.140625" style="1" customWidth="1"/>
    <col min="10974" max="11223" width="10.28515625" style="1" customWidth="1"/>
    <col min="11224" max="11224" width="11.28515625" style="1"/>
    <col min="11225" max="11225" width="4.5703125" style="1" customWidth="1"/>
    <col min="11226" max="11226" width="27.85546875" style="1" customWidth="1"/>
    <col min="11227" max="11227" width="18.7109375" style="1" customWidth="1"/>
    <col min="11228" max="11228" width="17.85546875" style="1" customWidth="1"/>
    <col min="11229" max="11229" width="118.140625" style="1" customWidth="1"/>
    <col min="11230" max="11479" width="10.28515625" style="1" customWidth="1"/>
    <col min="11480" max="11480" width="11.28515625" style="1"/>
    <col min="11481" max="11481" width="4.5703125" style="1" customWidth="1"/>
    <col min="11482" max="11482" width="27.85546875" style="1" customWidth="1"/>
    <col min="11483" max="11483" width="18.7109375" style="1" customWidth="1"/>
    <col min="11484" max="11484" width="17.85546875" style="1" customWidth="1"/>
    <col min="11485" max="11485" width="118.140625" style="1" customWidth="1"/>
    <col min="11486" max="11735" width="10.28515625" style="1" customWidth="1"/>
    <col min="11736" max="11736" width="11.28515625" style="1"/>
    <col min="11737" max="11737" width="4.5703125" style="1" customWidth="1"/>
    <col min="11738" max="11738" width="27.85546875" style="1" customWidth="1"/>
    <col min="11739" max="11739" width="18.7109375" style="1" customWidth="1"/>
    <col min="11740" max="11740" width="17.85546875" style="1" customWidth="1"/>
    <col min="11741" max="11741" width="118.140625" style="1" customWidth="1"/>
    <col min="11742" max="11991" width="10.28515625" style="1" customWidth="1"/>
    <col min="11992" max="11992" width="11.28515625" style="1"/>
    <col min="11993" max="11993" width="4.5703125" style="1" customWidth="1"/>
    <col min="11994" max="11994" width="27.85546875" style="1" customWidth="1"/>
    <col min="11995" max="11995" width="18.7109375" style="1" customWidth="1"/>
    <col min="11996" max="11996" width="17.85546875" style="1" customWidth="1"/>
    <col min="11997" max="11997" width="118.140625" style="1" customWidth="1"/>
    <col min="11998" max="12247" width="10.28515625" style="1" customWidth="1"/>
    <col min="12248" max="12248" width="11.28515625" style="1"/>
    <col min="12249" max="12249" width="4.5703125" style="1" customWidth="1"/>
    <col min="12250" max="12250" width="27.85546875" style="1" customWidth="1"/>
    <col min="12251" max="12251" width="18.7109375" style="1" customWidth="1"/>
    <col min="12252" max="12252" width="17.85546875" style="1" customWidth="1"/>
    <col min="12253" max="12253" width="118.140625" style="1" customWidth="1"/>
    <col min="12254" max="12503" width="10.28515625" style="1" customWidth="1"/>
    <col min="12504" max="12504" width="11.28515625" style="1"/>
    <col min="12505" max="12505" width="4.5703125" style="1" customWidth="1"/>
    <col min="12506" max="12506" width="27.85546875" style="1" customWidth="1"/>
    <col min="12507" max="12507" width="18.7109375" style="1" customWidth="1"/>
    <col min="12508" max="12508" width="17.85546875" style="1" customWidth="1"/>
    <col min="12509" max="12509" width="118.140625" style="1" customWidth="1"/>
    <col min="12510" max="12759" width="10.28515625" style="1" customWidth="1"/>
    <col min="12760" max="12760" width="11.28515625" style="1"/>
    <col min="12761" max="12761" width="4.5703125" style="1" customWidth="1"/>
    <col min="12762" max="12762" width="27.85546875" style="1" customWidth="1"/>
    <col min="12763" max="12763" width="18.7109375" style="1" customWidth="1"/>
    <col min="12764" max="12764" width="17.85546875" style="1" customWidth="1"/>
    <col min="12765" max="12765" width="118.140625" style="1" customWidth="1"/>
    <col min="12766" max="13015" width="10.28515625" style="1" customWidth="1"/>
    <col min="13016" max="13016" width="11.28515625" style="1"/>
    <col min="13017" max="13017" width="4.5703125" style="1" customWidth="1"/>
    <col min="13018" max="13018" width="27.85546875" style="1" customWidth="1"/>
    <col min="13019" max="13019" width="18.7109375" style="1" customWidth="1"/>
    <col min="13020" max="13020" width="17.85546875" style="1" customWidth="1"/>
    <col min="13021" max="13021" width="118.140625" style="1" customWidth="1"/>
    <col min="13022" max="13271" width="10.28515625" style="1" customWidth="1"/>
    <col min="13272" max="13272" width="11.28515625" style="1"/>
    <col min="13273" max="13273" width="4.5703125" style="1" customWidth="1"/>
    <col min="13274" max="13274" width="27.85546875" style="1" customWidth="1"/>
    <col min="13275" max="13275" width="18.7109375" style="1" customWidth="1"/>
    <col min="13276" max="13276" width="17.85546875" style="1" customWidth="1"/>
    <col min="13277" max="13277" width="118.140625" style="1" customWidth="1"/>
    <col min="13278" max="13527" width="10.28515625" style="1" customWidth="1"/>
    <col min="13528" max="13528" width="11.28515625" style="1"/>
    <col min="13529" max="13529" width="4.5703125" style="1" customWidth="1"/>
    <col min="13530" max="13530" width="27.85546875" style="1" customWidth="1"/>
    <col min="13531" max="13531" width="18.7109375" style="1" customWidth="1"/>
    <col min="13532" max="13532" width="17.85546875" style="1" customWidth="1"/>
    <col min="13533" max="13533" width="118.140625" style="1" customWidth="1"/>
    <col min="13534" max="13783" width="10.28515625" style="1" customWidth="1"/>
    <col min="13784" max="13784" width="11.28515625" style="1"/>
    <col min="13785" max="13785" width="4.5703125" style="1" customWidth="1"/>
    <col min="13786" max="13786" width="27.85546875" style="1" customWidth="1"/>
    <col min="13787" max="13787" width="18.7109375" style="1" customWidth="1"/>
    <col min="13788" max="13788" width="17.85546875" style="1" customWidth="1"/>
    <col min="13789" max="13789" width="118.140625" style="1" customWidth="1"/>
    <col min="13790" max="14039" width="10.28515625" style="1" customWidth="1"/>
    <col min="14040" max="14040" width="11.28515625" style="1"/>
    <col min="14041" max="14041" width="4.5703125" style="1" customWidth="1"/>
    <col min="14042" max="14042" width="27.85546875" style="1" customWidth="1"/>
    <col min="14043" max="14043" width="18.7109375" style="1" customWidth="1"/>
    <col min="14044" max="14044" width="17.85546875" style="1" customWidth="1"/>
    <col min="14045" max="14045" width="118.140625" style="1" customWidth="1"/>
    <col min="14046" max="14295" width="10.28515625" style="1" customWidth="1"/>
    <col min="14296" max="14296" width="11.28515625" style="1"/>
    <col min="14297" max="14297" width="4.5703125" style="1" customWidth="1"/>
    <col min="14298" max="14298" width="27.85546875" style="1" customWidth="1"/>
    <col min="14299" max="14299" width="18.7109375" style="1" customWidth="1"/>
    <col min="14300" max="14300" width="17.85546875" style="1" customWidth="1"/>
    <col min="14301" max="14301" width="118.140625" style="1" customWidth="1"/>
    <col min="14302" max="14551" width="10.28515625" style="1" customWidth="1"/>
    <col min="14552" max="14552" width="11.28515625" style="1"/>
    <col min="14553" max="14553" width="4.5703125" style="1" customWidth="1"/>
    <col min="14554" max="14554" width="27.85546875" style="1" customWidth="1"/>
    <col min="14555" max="14555" width="18.7109375" style="1" customWidth="1"/>
    <col min="14556" max="14556" width="17.85546875" style="1" customWidth="1"/>
    <col min="14557" max="14557" width="118.140625" style="1" customWidth="1"/>
    <col min="14558" max="14807" width="10.28515625" style="1" customWidth="1"/>
    <col min="14808" max="14808" width="11.28515625" style="1"/>
    <col min="14809" max="14809" width="4.5703125" style="1" customWidth="1"/>
    <col min="14810" max="14810" width="27.85546875" style="1" customWidth="1"/>
    <col min="14811" max="14811" width="18.7109375" style="1" customWidth="1"/>
    <col min="14812" max="14812" width="17.85546875" style="1" customWidth="1"/>
    <col min="14813" max="14813" width="118.140625" style="1" customWidth="1"/>
    <col min="14814" max="15063" width="10.28515625" style="1" customWidth="1"/>
    <col min="15064" max="15064" width="11.28515625" style="1"/>
    <col min="15065" max="15065" width="4.5703125" style="1" customWidth="1"/>
    <col min="15066" max="15066" width="27.85546875" style="1" customWidth="1"/>
    <col min="15067" max="15067" width="18.7109375" style="1" customWidth="1"/>
    <col min="15068" max="15068" width="17.85546875" style="1" customWidth="1"/>
    <col min="15069" max="15069" width="118.140625" style="1" customWidth="1"/>
    <col min="15070" max="15319" width="10.28515625" style="1" customWidth="1"/>
    <col min="15320" max="15320" width="11.28515625" style="1"/>
    <col min="15321" max="15321" width="4.5703125" style="1" customWidth="1"/>
    <col min="15322" max="15322" width="27.85546875" style="1" customWidth="1"/>
    <col min="15323" max="15323" width="18.7109375" style="1" customWidth="1"/>
    <col min="15324" max="15324" width="17.85546875" style="1" customWidth="1"/>
    <col min="15325" max="15325" width="118.140625" style="1" customWidth="1"/>
    <col min="15326" max="15575" width="10.28515625" style="1" customWidth="1"/>
    <col min="15576" max="15576" width="11.28515625" style="1"/>
    <col min="15577" max="15577" width="4.5703125" style="1" customWidth="1"/>
    <col min="15578" max="15578" width="27.85546875" style="1" customWidth="1"/>
    <col min="15579" max="15579" width="18.7109375" style="1" customWidth="1"/>
    <col min="15580" max="15580" width="17.85546875" style="1" customWidth="1"/>
    <col min="15581" max="15581" width="118.140625" style="1" customWidth="1"/>
    <col min="15582" max="15831" width="10.28515625" style="1" customWidth="1"/>
    <col min="15832" max="15832" width="11.28515625" style="1"/>
    <col min="15833" max="15833" width="4.5703125" style="1" customWidth="1"/>
    <col min="15834" max="15834" width="27.85546875" style="1" customWidth="1"/>
    <col min="15835" max="15835" width="18.7109375" style="1" customWidth="1"/>
    <col min="15836" max="15836" width="17.85546875" style="1" customWidth="1"/>
    <col min="15837" max="15837" width="118.140625" style="1" customWidth="1"/>
    <col min="15838" max="16087" width="10.28515625" style="1" customWidth="1"/>
    <col min="16088" max="16088" width="11.28515625" style="1"/>
    <col min="16089" max="16089" width="4.5703125" style="1" customWidth="1"/>
    <col min="16090" max="16090" width="27.85546875" style="1" customWidth="1"/>
    <col min="16091" max="16091" width="18.7109375" style="1" customWidth="1"/>
    <col min="16092" max="16092" width="17.85546875" style="1" customWidth="1"/>
    <col min="16093" max="16093" width="118.140625" style="1" customWidth="1"/>
    <col min="16094" max="16384" width="10.28515625" style="1" customWidth="1"/>
  </cols>
  <sheetData>
    <row r="1" spans="1:68" s="3" customFormat="1" ht="34.5" customHeight="1">
      <c r="A1" s="5036" t="s">
        <v>138</v>
      </c>
      <c r="B1" s="5036"/>
      <c r="C1" s="5036"/>
      <c r="D1" s="5036"/>
      <c r="E1" s="503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2"/>
    </row>
    <row r="2" spans="1:68" s="3" customFormat="1" ht="15.75" customHeight="1" thickBot="1">
      <c r="A2" s="5037" t="s">
        <v>0</v>
      </c>
      <c r="B2" s="5037"/>
      <c r="C2" s="5037"/>
      <c r="D2" s="5037"/>
      <c r="E2" s="503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2"/>
    </row>
    <row r="3" spans="1:68" s="3" customFormat="1" ht="98.25" customHeight="1" thickBot="1">
      <c r="A3" s="4" t="s">
        <v>1</v>
      </c>
      <c r="B3" s="4" t="s">
        <v>2</v>
      </c>
      <c r="C3" s="100" t="s">
        <v>3</v>
      </c>
      <c r="D3" s="5" t="s">
        <v>139</v>
      </c>
      <c r="E3" s="4" t="s">
        <v>4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2"/>
    </row>
    <row r="4" spans="1:68" s="3" customFormat="1" ht="18.75" thickBot="1">
      <c r="A4" s="144" t="s">
        <v>133</v>
      </c>
      <c r="B4" s="144" t="s">
        <v>134</v>
      </c>
      <c r="C4" s="144" t="s">
        <v>135</v>
      </c>
      <c r="D4" s="144" t="s">
        <v>136</v>
      </c>
      <c r="E4" s="144" t="s">
        <v>137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</row>
    <row r="5" spans="1:68" s="8" customFormat="1" ht="39.950000000000003" customHeight="1">
      <c r="A5" s="5038" t="s">
        <v>140</v>
      </c>
      <c r="B5" s="5041"/>
      <c r="C5" s="5041"/>
      <c r="D5" s="142">
        <f>SUM(D6:D13)</f>
        <v>8649000</v>
      </c>
      <c r="E5" s="143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7"/>
    </row>
    <row r="6" spans="1:68" s="11" customFormat="1" ht="30.95" customHeight="1">
      <c r="A6" s="5039"/>
      <c r="B6" s="5042" t="s">
        <v>5</v>
      </c>
      <c r="C6" s="61" t="s">
        <v>162</v>
      </c>
      <c r="D6" s="62">
        <v>600000</v>
      </c>
      <c r="E6" s="5045" t="s">
        <v>141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10"/>
    </row>
    <row r="7" spans="1:68" s="11" customFormat="1" ht="30.95" customHeight="1">
      <c r="A7" s="5039"/>
      <c r="B7" s="5042"/>
      <c r="C7" s="61" t="s">
        <v>163</v>
      </c>
      <c r="D7" s="62">
        <v>24000</v>
      </c>
      <c r="E7" s="504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10"/>
    </row>
    <row r="8" spans="1:68" s="11" customFormat="1" ht="30.95" customHeight="1">
      <c r="A8" s="5039"/>
      <c r="B8" s="5042"/>
      <c r="C8" s="61" t="s">
        <v>164</v>
      </c>
      <c r="D8" s="62">
        <v>100000</v>
      </c>
      <c r="E8" s="5045"/>
      <c r="F8" s="9"/>
      <c r="G8" s="9"/>
      <c r="H8" s="56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10"/>
    </row>
    <row r="9" spans="1:68" s="11" customFormat="1" ht="30.95" customHeight="1">
      <c r="A9" s="5039"/>
      <c r="B9" s="5042"/>
      <c r="C9" s="61" t="s">
        <v>165</v>
      </c>
      <c r="D9" s="62">
        <v>180000</v>
      </c>
      <c r="E9" s="5045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10"/>
    </row>
    <row r="10" spans="1:68" s="11" customFormat="1" ht="45" customHeight="1">
      <c r="A10" s="5040"/>
      <c r="B10" s="5042" t="s">
        <v>6</v>
      </c>
      <c r="C10" s="61" t="s">
        <v>166</v>
      </c>
      <c r="D10" s="62">
        <v>20000</v>
      </c>
      <c r="E10" s="102" t="s">
        <v>142</v>
      </c>
      <c r="F10" s="9"/>
      <c r="G10" s="9"/>
      <c r="H10" s="57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10"/>
    </row>
    <row r="11" spans="1:68" s="11" customFormat="1" ht="76.5" customHeight="1">
      <c r="A11" s="5040"/>
      <c r="B11" s="5043"/>
      <c r="C11" s="61" t="s">
        <v>167</v>
      </c>
      <c r="D11" s="62">
        <v>400000</v>
      </c>
      <c r="E11" s="103" t="s">
        <v>141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10"/>
    </row>
    <row r="12" spans="1:68" s="11" customFormat="1" ht="48" customHeight="1">
      <c r="A12" s="5040"/>
      <c r="B12" s="5043"/>
      <c r="C12" s="61" t="s">
        <v>168</v>
      </c>
      <c r="D12" s="62">
        <v>7305000</v>
      </c>
      <c r="E12" s="5044" t="s">
        <v>142</v>
      </c>
      <c r="F12" s="9"/>
      <c r="G12" s="9"/>
      <c r="H12" s="56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10"/>
    </row>
    <row r="13" spans="1:68" s="11" customFormat="1" ht="67.5" customHeight="1">
      <c r="A13" s="5040"/>
      <c r="B13" s="5043"/>
      <c r="C13" s="61" t="s">
        <v>169</v>
      </c>
      <c r="D13" s="62">
        <v>20000</v>
      </c>
      <c r="E13" s="5044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10"/>
    </row>
    <row r="14" spans="1:68" s="14" customFormat="1" ht="39.950000000000003" customHeight="1">
      <c r="A14" s="5034">
        <v>600</v>
      </c>
      <c r="B14" s="5046"/>
      <c r="C14" s="5046"/>
      <c r="D14" s="63">
        <f>SUM(D15:D29)</f>
        <v>49871180</v>
      </c>
      <c r="E14" s="104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3"/>
    </row>
    <row r="15" spans="1:68" s="8" customFormat="1" ht="58.5" customHeight="1">
      <c r="A15" s="5034"/>
      <c r="B15" s="64">
        <v>60001</v>
      </c>
      <c r="C15" s="65" t="s">
        <v>1347</v>
      </c>
      <c r="D15" s="62">
        <v>1500000</v>
      </c>
      <c r="E15" s="105" t="s">
        <v>142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7"/>
    </row>
    <row r="16" spans="1:68" s="17" customFormat="1" ht="63.75" customHeight="1">
      <c r="A16" s="5034"/>
      <c r="B16" s="5050">
        <v>60013</v>
      </c>
      <c r="C16" s="65" t="s">
        <v>7</v>
      </c>
      <c r="D16" s="66">
        <v>9000000</v>
      </c>
      <c r="E16" s="5044" t="s">
        <v>8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6"/>
    </row>
    <row r="17" spans="1:64" s="17" customFormat="1" ht="79.5" customHeight="1">
      <c r="A17" s="5034"/>
      <c r="B17" s="5050"/>
      <c r="C17" s="65" t="s">
        <v>9</v>
      </c>
      <c r="D17" s="66">
        <v>1250000</v>
      </c>
      <c r="E17" s="504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6"/>
    </row>
    <row r="18" spans="1:64" s="17" customFormat="1" ht="57" customHeight="1">
      <c r="A18" s="5034">
        <v>600</v>
      </c>
      <c r="B18" s="5050">
        <v>60013</v>
      </c>
      <c r="C18" s="65" t="s">
        <v>10</v>
      </c>
      <c r="D18" s="66">
        <v>5800000</v>
      </c>
      <c r="E18" s="5044" t="s">
        <v>8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6"/>
    </row>
    <row r="19" spans="1:64" s="17" customFormat="1" ht="82.5" customHeight="1">
      <c r="A19" s="5034"/>
      <c r="B19" s="5050"/>
      <c r="C19" s="65" t="s">
        <v>175</v>
      </c>
      <c r="D19" s="66">
        <v>1200000</v>
      </c>
      <c r="E19" s="504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6"/>
    </row>
    <row r="20" spans="1:64" s="17" customFormat="1" ht="41.25" customHeight="1">
      <c r="A20" s="5034"/>
      <c r="B20" s="5050"/>
      <c r="C20" s="65" t="s">
        <v>11</v>
      </c>
      <c r="D20" s="66">
        <v>10000000</v>
      </c>
      <c r="E20" s="504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6"/>
    </row>
    <row r="21" spans="1:64" s="17" customFormat="1" ht="57" customHeight="1">
      <c r="A21" s="5034"/>
      <c r="B21" s="5050"/>
      <c r="C21" s="65" t="s">
        <v>12</v>
      </c>
      <c r="D21" s="67">
        <v>181180</v>
      </c>
      <c r="E21" s="504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6"/>
    </row>
    <row r="22" spans="1:64" s="17" customFormat="1" ht="45.75" customHeight="1">
      <c r="A22" s="5034"/>
      <c r="B22" s="5050"/>
      <c r="C22" s="68" t="s">
        <v>13</v>
      </c>
      <c r="D22" s="66">
        <v>8500000</v>
      </c>
      <c r="E22" s="504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6"/>
    </row>
    <row r="23" spans="1:64" s="17" customFormat="1" ht="30.95" customHeight="1">
      <c r="A23" s="5034"/>
      <c r="B23" s="5050"/>
      <c r="C23" s="69" t="s">
        <v>14</v>
      </c>
      <c r="D23" s="66">
        <v>7000000</v>
      </c>
      <c r="E23" s="504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6"/>
    </row>
    <row r="24" spans="1:64" s="17" customFormat="1" ht="40.5" customHeight="1">
      <c r="A24" s="5034"/>
      <c r="B24" s="5050"/>
      <c r="C24" s="69" t="s">
        <v>15</v>
      </c>
      <c r="D24" s="66">
        <v>400000</v>
      </c>
      <c r="E24" s="504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6"/>
    </row>
    <row r="25" spans="1:64" s="17" customFormat="1" ht="30.95" customHeight="1">
      <c r="A25" s="5034"/>
      <c r="B25" s="5050"/>
      <c r="C25" s="70" t="s">
        <v>16</v>
      </c>
      <c r="D25" s="66">
        <v>30000</v>
      </c>
      <c r="E25" s="504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6"/>
    </row>
    <row r="26" spans="1:64" s="17" customFormat="1" ht="45" customHeight="1">
      <c r="A26" s="5034"/>
      <c r="B26" s="5050"/>
      <c r="C26" s="71" t="s">
        <v>17</v>
      </c>
      <c r="D26" s="66">
        <v>30000</v>
      </c>
      <c r="E26" s="504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6"/>
    </row>
    <row r="27" spans="1:64" s="17" customFormat="1" ht="48" customHeight="1">
      <c r="A27" s="5034"/>
      <c r="B27" s="5050"/>
      <c r="C27" s="71" t="s">
        <v>18</v>
      </c>
      <c r="D27" s="66">
        <v>100000</v>
      </c>
      <c r="E27" s="504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6"/>
    </row>
    <row r="28" spans="1:64" s="17" customFormat="1" ht="30.95" customHeight="1">
      <c r="A28" s="5034"/>
      <c r="B28" s="5050"/>
      <c r="C28" s="71" t="s">
        <v>19</v>
      </c>
      <c r="D28" s="66">
        <v>3880000</v>
      </c>
      <c r="E28" s="504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6"/>
    </row>
    <row r="29" spans="1:64" s="17" customFormat="1" ht="58.5" customHeight="1">
      <c r="A29" s="5034"/>
      <c r="B29" s="72">
        <v>60014</v>
      </c>
      <c r="C29" s="71" t="s">
        <v>159</v>
      </c>
      <c r="D29" s="66">
        <v>1000000</v>
      </c>
      <c r="E29" s="103" t="s">
        <v>184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6"/>
    </row>
    <row r="30" spans="1:64" s="17" customFormat="1" ht="39.950000000000003" customHeight="1">
      <c r="A30" s="5047">
        <v>700</v>
      </c>
      <c r="B30" s="73"/>
      <c r="C30" s="74"/>
      <c r="D30" s="75">
        <f>SUM(D31:D32)</f>
        <v>1090000</v>
      </c>
      <c r="E30" s="106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6"/>
    </row>
    <row r="31" spans="1:64" s="17" customFormat="1" ht="66.75" customHeight="1">
      <c r="A31" s="5047"/>
      <c r="B31" s="5049">
        <v>70005</v>
      </c>
      <c r="C31" s="65" t="s">
        <v>161</v>
      </c>
      <c r="D31" s="66">
        <v>760000</v>
      </c>
      <c r="E31" s="5048" t="s">
        <v>184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6"/>
    </row>
    <row r="32" spans="1:64" s="17" customFormat="1" ht="49.5" customHeight="1">
      <c r="A32" s="5047"/>
      <c r="B32" s="5049"/>
      <c r="C32" s="71" t="s">
        <v>20</v>
      </c>
      <c r="D32" s="66">
        <v>330000</v>
      </c>
      <c r="E32" s="5048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6"/>
    </row>
    <row r="33" spans="1:68" s="17" customFormat="1" ht="39.950000000000003" customHeight="1">
      <c r="A33" s="5047">
        <v>720</v>
      </c>
      <c r="B33" s="76"/>
      <c r="C33" s="74"/>
      <c r="D33" s="75">
        <f>SUM(D34:D34)</f>
        <v>560000</v>
      </c>
      <c r="E33" s="106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6"/>
    </row>
    <row r="34" spans="1:68" s="17" customFormat="1" ht="66.75" customHeight="1">
      <c r="A34" s="5047"/>
      <c r="B34" s="77">
        <v>72095</v>
      </c>
      <c r="C34" s="71" t="s">
        <v>170</v>
      </c>
      <c r="D34" s="66">
        <v>560000</v>
      </c>
      <c r="E34" s="107" t="s">
        <v>184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6"/>
    </row>
    <row r="35" spans="1:68" s="17" customFormat="1" ht="39.950000000000003" customHeight="1">
      <c r="A35" s="5047">
        <v>750</v>
      </c>
      <c r="B35" s="78"/>
      <c r="C35" s="79"/>
      <c r="D35" s="63">
        <f>SUM(D36:D50)</f>
        <v>5255100</v>
      </c>
      <c r="E35" s="10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6"/>
    </row>
    <row r="36" spans="1:68" s="17" customFormat="1" ht="21.95" customHeight="1">
      <c r="A36" s="5047"/>
      <c r="B36" s="5049">
        <v>75018</v>
      </c>
      <c r="C36" s="80" t="s">
        <v>21</v>
      </c>
      <c r="D36" s="81">
        <v>1100000</v>
      </c>
      <c r="E36" s="5048" t="s">
        <v>183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6"/>
    </row>
    <row r="37" spans="1:68" s="17" customFormat="1" ht="21.95" customHeight="1">
      <c r="A37" s="5047"/>
      <c r="B37" s="5049"/>
      <c r="C37" s="80" t="s">
        <v>22</v>
      </c>
      <c r="D37" s="81">
        <v>800000</v>
      </c>
      <c r="E37" s="5048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6"/>
    </row>
    <row r="38" spans="1:68" s="17" customFormat="1" ht="21.95" customHeight="1">
      <c r="A38" s="5047"/>
      <c r="B38" s="5049"/>
      <c r="C38" s="80" t="s">
        <v>23</v>
      </c>
      <c r="D38" s="81">
        <v>600000</v>
      </c>
      <c r="E38" s="5048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6"/>
    </row>
    <row r="39" spans="1:68" s="17" customFormat="1" ht="45.75" customHeight="1">
      <c r="A39" s="5047"/>
      <c r="B39" s="5049"/>
      <c r="C39" s="80" t="s">
        <v>24</v>
      </c>
      <c r="D39" s="81">
        <v>346000</v>
      </c>
      <c r="E39" s="5048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6"/>
    </row>
    <row r="40" spans="1:68" s="17" customFormat="1" ht="21.95" customHeight="1">
      <c r="A40" s="5047"/>
      <c r="B40" s="5049"/>
      <c r="C40" s="80" t="s">
        <v>25</v>
      </c>
      <c r="D40" s="81">
        <v>750000</v>
      </c>
      <c r="E40" s="5048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6"/>
    </row>
    <row r="41" spans="1:68" s="17" customFormat="1" ht="21.95" customHeight="1">
      <c r="A41" s="5047"/>
      <c r="B41" s="5049"/>
      <c r="C41" s="80" t="s">
        <v>26</v>
      </c>
      <c r="D41" s="81">
        <v>350000</v>
      </c>
      <c r="E41" s="5048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6"/>
    </row>
    <row r="42" spans="1:68" s="17" customFormat="1" ht="45" customHeight="1">
      <c r="A42" s="5047"/>
      <c r="B42" s="5049"/>
      <c r="C42" s="80" t="s">
        <v>27</v>
      </c>
      <c r="D42" s="81">
        <v>100000</v>
      </c>
      <c r="E42" s="5048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6"/>
    </row>
    <row r="43" spans="1:68" s="20" customFormat="1" ht="54.75" customHeight="1">
      <c r="A43" s="5047"/>
      <c r="B43" s="5049"/>
      <c r="C43" s="61" t="s">
        <v>143</v>
      </c>
      <c r="D43" s="82">
        <v>36300</v>
      </c>
      <c r="E43" s="103" t="s">
        <v>144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9"/>
    </row>
    <row r="44" spans="1:68" s="17" customFormat="1" ht="21.95" customHeight="1">
      <c r="A44" s="5047"/>
      <c r="B44" s="5049"/>
      <c r="C44" s="71" t="s">
        <v>28</v>
      </c>
      <c r="D44" s="66">
        <v>100000</v>
      </c>
      <c r="E44" s="5044" t="s">
        <v>8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6"/>
    </row>
    <row r="45" spans="1:68" s="17" customFormat="1" ht="21.95" customHeight="1">
      <c r="A45" s="5047"/>
      <c r="B45" s="5049"/>
      <c r="C45" s="71" t="s">
        <v>29</v>
      </c>
      <c r="D45" s="83">
        <v>60000</v>
      </c>
      <c r="E45" s="504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6"/>
    </row>
    <row r="46" spans="1:68" s="17" customFormat="1" ht="44.25" customHeight="1">
      <c r="A46" s="5047"/>
      <c r="B46" s="5049"/>
      <c r="C46" s="71" t="s">
        <v>30</v>
      </c>
      <c r="D46" s="83">
        <v>478300</v>
      </c>
      <c r="E46" s="504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6"/>
    </row>
    <row r="47" spans="1:68" s="17" customFormat="1" ht="54" customHeight="1">
      <c r="A47" s="5047"/>
      <c r="B47" s="5049"/>
      <c r="C47" s="71" t="s">
        <v>31</v>
      </c>
      <c r="D47" s="83">
        <v>90000</v>
      </c>
      <c r="E47" s="5044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6"/>
    </row>
    <row r="48" spans="1:68" s="17" customFormat="1" ht="30.95" customHeight="1">
      <c r="A48" s="5047"/>
      <c r="B48" s="5049"/>
      <c r="C48" s="71" t="s">
        <v>32</v>
      </c>
      <c r="D48" s="83">
        <v>100000</v>
      </c>
      <c r="E48" s="504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6"/>
    </row>
    <row r="49" spans="1:73" s="17" customFormat="1" ht="54" customHeight="1">
      <c r="A49" s="5047"/>
      <c r="B49" s="72">
        <v>75075</v>
      </c>
      <c r="C49" s="61" t="s">
        <v>33</v>
      </c>
      <c r="D49" s="84">
        <v>42000</v>
      </c>
      <c r="E49" s="5044" t="s">
        <v>183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6"/>
    </row>
    <row r="50" spans="1:73" s="17" customFormat="1" ht="58.5" customHeight="1">
      <c r="A50" s="5047"/>
      <c r="B50" s="72">
        <v>75095</v>
      </c>
      <c r="C50" s="61" t="s">
        <v>171</v>
      </c>
      <c r="D50" s="84">
        <v>302500</v>
      </c>
      <c r="E50" s="504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6"/>
    </row>
    <row r="51" spans="1:73" s="8" customFormat="1" ht="39.950000000000003" customHeight="1">
      <c r="A51" s="5047">
        <v>754</v>
      </c>
      <c r="B51" s="5053"/>
      <c r="C51" s="5053"/>
      <c r="D51" s="85">
        <f>SUM(D52:D54)</f>
        <v>1313500</v>
      </c>
      <c r="E51" s="101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7"/>
    </row>
    <row r="52" spans="1:73" s="23" customFormat="1" ht="44.25" customHeight="1">
      <c r="A52" s="5047"/>
      <c r="B52" s="72">
        <v>75404</v>
      </c>
      <c r="C52" s="70" t="s">
        <v>34</v>
      </c>
      <c r="D52" s="82">
        <v>450000</v>
      </c>
      <c r="E52" s="5044" t="s">
        <v>183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2"/>
    </row>
    <row r="53" spans="1:73" s="23" customFormat="1" ht="51" customHeight="1">
      <c r="A53" s="5047"/>
      <c r="B53" s="72">
        <v>75406</v>
      </c>
      <c r="C53" s="70" t="s">
        <v>35</v>
      </c>
      <c r="D53" s="82">
        <v>363500</v>
      </c>
      <c r="E53" s="5044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2"/>
    </row>
    <row r="54" spans="1:73" s="23" customFormat="1" ht="51" customHeight="1">
      <c r="A54" s="5047"/>
      <c r="B54" s="72">
        <v>75410</v>
      </c>
      <c r="C54" s="70" t="s">
        <v>36</v>
      </c>
      <c r="D54" s="82">
        <v>500000</v>
      </c>
      <c r="E54" s="5044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2"/>
    </row>
    <row r="55" spans="1:73" s="53" customFormat="1" ht="39.950000000000003" customHeight="1">
      <c r="A55" s="5034">
        <v>758</v>
      </c>
      <c r="B55" s="5051"/>
      <c r="C55" s="5051"/>
      <c r="D55" s="85">
        <f>SUM(D56:D60)</f>
        <v>61600000</v>
      </c>
      <c r="E55" s="108"/>
    </row>
    <row r="56" spans="1:73" s="54" customFormat="1" ht="84" customHeight="1">
      <c r="A56" s="5034"/>
      <c r="B56" s="5052">
        <v>75818</v>
      </c>
      <c r="C56" s="70" t="s">
        <v>145</v>
      </c>
      <c r="D56" s="82">
        <v>20000000</v>
      </c>
      <c r="E56" s="5045" t="s">
        <v>183</v>
      </c>
    </row>
    <row r="57" spans="1:73" s="54" customFormat="1" ht="45" customHeight="1">
      <c r="A57" s="5034"/>
      <c r="B57" s="5052"/>
      <c r="C57" s="70" t="s">
        <v>146</v>
      </c>
      <c r="D57" s="82">
        <v>2000000</v>
      </c>
      <c r="E57" s="5045"/>
    </row>
    <row r="58" spans="1:73" s="54" customFormat="1" ht="60" customHeight="1">
      <c r="A58" s="5034"/>
      <c r="B58" s="5052"/>
      <c r="C58" s="70" t="s">
        <v>147</v>
      </c>
      <c r="D58" s="82">
        <v>9000000</v>
      </c>
      <c r="E58" s="5045"/>
    </row>
    <row r="59" spans="1:73" s="54" customFormat="1" ht="80.25" customHeight="1">
      <c r="A59" s="5034"/>
      <c r="B59" s="5052"/>
      <c r="C59" s="70" t="s">
        <v>148</v>
      </c>
      <c r="D59" s="82">
        <v>30000000</v>
      </c>
      <c r="E59" s="5045"/>
    </row>
    <row r="60" spans="1:73" s="54" customFormat="1" ht="43.5" customHeight="1">
      <c r="A60" s="5034"/>
      <c r="B60" s="5052"/>
      <c r="C60" s="70" t="s">
        <v>149</v>
      </c>
      <c r="D60" s="82">
        <v>600000</v>
      </c>
      <c r="E60" s="5045"/>
    </row>
    <row r="61" spans="1:73" s="8" customFormat="1" ht="39.950000000000003" customHeight="1">
      <c r="A61" s="5034">
        <v>801</v>
      </c>
      <c r="B61" s="86"/>
      <c r="C61" s="87"/>
      <c r="D61" s="85">
        <f>SUM(D62:D65)</f>
        <v>103180</v>
      </c>
      <c r="E61" s="109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7"/>
    </row>
    <row r="62" spans="1:73" s="8" customFormat="1" ht="45" customHeight="1">
      <c r="A62" s="5034"/>
      <c r="B62" s="5056">
        <v>80130</v>
      </c>
      <c r="C62" s="88" t="s">
        <v>37</v>
      </c>
      <c r="D62" s="89">
        <v>18000</v>
      </c>
      <c r="E62" s="5057" t="s">
        <v>187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7"/>
    </row>
    <row r="63" spans="1:73" s="8" customFormat="1" ht="45" customHeight="1">
      <c r="A63" s="5034"/>
      <c r="B63" s="5056"/>
      <c r="C63" s="88" t="s">
        <v>38</v>
      </c>
      <c r="D63" s="89">
        <v>10300</v>
      </c>
      <c r="E63" s="5057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7"/>
    </row>
    <row r="64" spans="1:73" s="23" customFormat="1" ht="30.95" customHeight="1">
      <c r="A64" s="5034"/>
      <c r="B64" s="90">
        <v>80146</v>
      </c>
      <c r="C64" s="70" t="s">
        <v>176</v>
      </c>
      <c r="D64" s="82">
        <v>48000</v>
      </c>
      <c r="E64" s="5045" t="s">
        <v>39</v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2"/>
    </row>
    <row r="65" spans="1:68" s="23" customFormat="1" ht="30.95" customHeight="1">
      <c r="A65" s="5034"/>
      <c r="B65" s="90">
        <v>80147</v>
      </c>
      <c r="C65" s="70" t="s">
        <v>177</v>
      </c>
      <c r="D65" s="82">
        <v>26880</v>
      </c>
      <c r="E65" s="5045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2"/>
    </row>
    <row r="66" spans="1:68" s="20" customFormat="1" ht="39.950000000000003" customHeight="1">
      <c r="A66" s="5055">
        <v>851</v>
      </c>
      <c r="B66" s="5073"/>
      <c r="C66" s="5075"/>
      <c r="D66" s="91">
        <f>SUM(D67:D107)</f>
        <v>57493056</v>
      </c>
      <c r="E66" s="110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9"/>
    </row>
    <row r="67" spans="1:68" s="20" customFormat="1" ht="51" customHeight="1">
      <c r="A67" s="5055"/>
      <c r="B67" s="5054">
        <v>85111</v>
      </c>
      <c r="C67" s="80" t="s">
        <v>40</v>
      </c>
      <c r="D67" s="84">
        <v>1485180</v>
      </c>
      <c r="E67" s="5044" t="s">
        <v>188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9"/>
    </row>
    <row r="68" spans="1:68" s="20" customFormat="1" ht="30.95" customHeight="1">
      <c r="A68" s="5055"/>
      <c r="B68" s="5054"/>
      <c r="C68" s="80" t="s">
        <v>41</v>
      </c>
      <c r="D68" s="84">
        <v>40350</v>
      </c>
      <c r="E68" s="5044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9"/>
    </row>
    <row r="69" spans="1:68" s="20" customFormat="1" ht="30.95" customHeight="1">
      <c r="A69" s="5055"/>
      <c r="B69" s="5054"/>
      <c r="C69" s="80" t="s">
        <v>42</v>
      </c>
      <c r="D69" s="84">
        <v>900000</v>
      </c>
      <c r="E69" s="5044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9"/>
    </row>
    <row r="70" spans="1:68" s="20" customFormat="1" ht="49.5" customHeight="1">
      <c r="A70" s="5055"/>
      <c r="B70" s="5054"/>
      <c r="C70" s="80" t="s">
        <v>43</v>
      </c>
      <c r="D70" s="84">
        <v>378971</v>
      </c>
      <c r="E70" s="5044" t="s">
        <v>185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9"/>
    </row>
    <row r="71" spans="1:68" s="20" customFormat="1" ht="48" customHeight="1">
      <c r="A71" s="5055"/>
      <c r="B71" s="5054"/>
      <c r="C71" s="80" t="s">
        <v>44</v>
      </c>
      <c r="D71" s="84">
        <v>953760</v>
      </c>
      <c r="E71" s="5044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9"/>
    </row>
    <row r="72" spans="1:68" s="20" customFormat="1" ht="52.5" customHeight="1">
      <c r="A72" s="5055"/>
      <c r="B72" s="5054"/>
      <c r="C72" s="80" t="s">
        <v>45</v>
      </c>
      <c r="D72" s="84">
        <v>496750</v>
      </c>
      <c r="E72" s="5044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9"/>
    </row>
    <row r="73" spans="1:68" s="20" customFormat="1" ht="57.75" customHeight="1">
      <c r="A73" s="5055"/>
      <c r="B73" s="5054"/>
      <c r="C73" s="80" t="s">
        <v>46</v>
      </c>
      <c r="D73" s="84">
        <v>496750</v>
      </c>
      <c r="E73" s="5044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9"/>
    </row>
    <row r="74" spans="1:68" s="20" customFormat="1" ht="60.75" customHeight="1">
      <c r="A74" s="5055"/>
      <c r="B74" s="5054"/>
      <c r="C74" s="80" t="s">
        <v>47</v>
      </c>
      <c r="D74" s="84">
        <v>993760</v>
      </c>
      <c r="E74" s="5044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9"/>
    </row>
    <row r="75" spans="1:68" s="20" customFormat="1" ht="30.95" customHeight="1">
      <c r="A75" s="5055"/>
      <c r="B75" s="5054"/>
      <c r="C75" s="80" t="s">
        <v>48</v>
      </c>
      <c r="D75" s="84">
        <v>34200</v>
      </c>
      <c r="E75" s="5044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9"/>
    </row>
    <row r="76" spans="1:68" s="20" customFormat="1" ht="30.95" customHeight="1">
      <c r="A76" s="5055"/>
      <c r="B76" s="5054"/>
      <c r="C76" s="80" t="s">
        <v>49</v>
      </c>
      <c r="D76" s="84">
        <v>16162355</v>
      </c>
      <c r="E76" s="5044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9"/>
    </row>
    <row r="77" spans="1:68" s="20" customFormat="1" ht="30.95" customHeight="1">
      <c r="A77" s="5055"/>
      <c r="B77" s="5054"/>
      <c r="C77" s="80" t="s">
        <v>50</v>
      </c>
      <c r="D77" s="84">
        <v>2748480</v>
      </c>
      <c r="E77" s="5044" t="s">
        <v>186</v>
      </c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9"/>
    </row>
    <row r="78" spans="1:68" s="20" customFormat="1" ht="30.95" customHeight="1">
      <c r="A78" s="5055"/>
      <c r="B78" s="5054"/>
      <c r="C78" s="80" t="s">
        <v>51</v>
      </c>
      <c r="D78" s="84">
        <v>2748480</v>
      </c>
      <c r="E78" s="5044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9"/>
    </row>
    <row r="79" spans="1:68" s="20" customFormat="1" ht="30.95" customHeight="1">
      <c r="A79" s="5055"/>
      <c r="B79" s="5054"/>
      <c r="C79" s="80" t="s">
        <v>52</v>
      </c>
      <c r="D79" s="84">
        <v>392640</v>
      </c>
      <c r="E79" s="5044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9"/>
    </row>
    <row r="80" spans="1:68" s="20" customFormat="1" ht="30.95" customHeight="1">
      <c r="A80" s="5055"/>
      <c r="B80" s="5054"/>
      <c r="C80" s="80" t="s">
        <v>53</v>
      </c>
      <c r="D80" s="84">
        <v>735350</v>
      </c>
      <c r="E80" s="5044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9"/>
    </row>
    <row r="81" spans="1:68" s="20" customFormat="1" ht="38.25" customHeight="1">
      <c r="A81" s="5055"/>
      <c r="B81" s="5054"/>
      <c r="C81" s="80" t="s">
        <v>54</v>
      </c>
      <c r="D81" s="84">
        <v>1024658</v>
      </c>
      <c r="E81" s="5044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9"/>
    </row>
    <row r="82" spans="1:68" s="20" customFormat="1" ht="30.95" customHeight="1">
      <c r="A82" s="5055"/>
      <c r="B82" s="5054"/>
      <c r="C82" s="80" t="s">
        <v>55</v>
      </c>
      <c r="D82" s="84">
        <v>611848</v>
      </c>
      <c r="E82" s="5044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9"/>
    </row>
    <row r="83" spans="1:68" s="20" customFormat="1" ht="30.95" customHeight="1">
      <c r="A83" s="5055">
        <v>851</v>
      </c>
      <c r="B83" s="5054">
        <v>85111</v>
      </c>
      <c r="C83" s="80" t="s">
        <v>56</v>
      </c>
      <c r="D83" s="84">
        <v>195440</v>
      </c>
      <c r="E83" s="5044" t="s">
        <v>57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9"/>
    </row>
    <row r="84" spans="1:68" s="20" customFormat="1" ht="30.95" customHeight="1">
      <c r="A84" s="5055"/>
      <c r="B84" s="5054"/>
      <c r="C84" s="80" t="s">
        <v>58</v>
      </c>
      <c r="D84" s="84">
        <v>1377852</v>
      </c>
      <c r="E84" s="5044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9"/>
    </row>
    <row r="85" spans="1:68" s="20" customFormat="1" ht="30.95" customHeight="1">
      <c r="A85" s="5055"/>
      <c r="B85" s="5054"/>
      <c r="C85" s="80" t="s">
        <v>59</v>
      </c>
      <c r="D85" s="84">
        <v>371336</v>
      </c>
      <c r="E85" s="5044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9"/>
    </row>
    <row r="86" spans="1:68" s="20" customFormat="1" ht="30.95" customHeight="1">
      <c r="A86" s="5055"/>
      <c r="B86" s="5054"/>
      <c r="C86" s="80" t="s">
        <v>60</v>
      </c>
      <c r="D86" s="84">
        <v>4104240</v>
      </c>
      <c r="E86" s="5044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9"/>
    </row>
    <row r="87" spans="1:68" s="20" customFormat="1" ht="54.75" customHeight="1">
      <c r="A87" s="5055"/>
      <c r="B87" s="5054"/>
      <c r="C87" s="80" t="s">
        <v>61</v>
      </c>
      <c r="D87" s="84">
        <v>1800248</v>
      </c>
      <c r="E87" s="5044" t="s">
        <v>189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9"/>
    </row>
    <row r="88" spans="1:68" s="20" customFormat="1" ht="51.75" customHeight="1">
      <c r="A88" s="5055"/>
      <c r="B88" s="5054"/>
      <c r="C88" s="80" t="s">
        <v>62</v>
      </c>
      <c r="D88" s="84">
        <v>82194</v>
      </c>
      <c r="E88" s="5044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9"/>
    </row>
    <row r="89" spans="1:68" s="20" customFormat="1" ht="58.5" customHeight="1">
      <c r="A89" s="5055"/>
      <c r="B89" s="5054"/>
      <c r="C89" s="80" t="s">
        <v>63</v>
      </c>
      <c r="D89" s="84">
        <v>1281280</v>
      </c>
      <c r="E89" s="5044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9"/>
    </row>
    <row r="90" spans="1:68" s="20" customFormat="1" ht="30.95" customHeight="1">
      <c r="A90" s="5055"/>
      <c r="B90" s="5054"/>
      <c r="C90" s="80" t="s">
        <v>64</v>
      </c>
      <c r="D90" s="84">
        <v>591360</v>
      </c>
      <c r="E90" s="5044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9"/>
    </row>
    <row r="91" spans="1:68" s="20" customFormat="1" ht="54.75" customHeight="1">
      <c r="A91" s="5055"/>
      <c r="B91" s="5054"/>
      <c r="C91" s="80" t="s">
        <v>65</v>
      </c>
      <c r="D91" s="84">
        <v>534195</v>
      </c>
      <c r="E91" s="5044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9"/>
    </row>
    <row r="92" spans="1:68" s="20" customFormat="1" ht="30.95" customHeight="1">
      <c r="A92" s="5055"/>
      <c r="B92" s="5054">
        <v>85120</v>
      </c>
      <c r="C92" s="80" t="s">
        <v>66</v>
      </c>
      <c r="D92" s="84">
        <v>4540612</v>
      </c>
      <c r="E92" s="5044" t="s">
        <v>67</v>
      </c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9"/>
    </row>
    <row r="93" spans="1:68" s="20" customFormat="1" ht="30.95" customHeight="1">
      <c r="A93" s="5055"/>
      <c r="B93" s="5049"/>
      <c r="C93" s="80" t="s">
        <v>68</v>
      </c>
      <c r="D93" s="84">
        <v>5551840</v>
      </c>
      <c r="E93" s="504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9"/>
    </row>
    <row r="94" spans="1:68" s="20" customFormat="1" ht="38.25" customHeight="1">
      <c r="A94" s="5055"/>
      <c r="B94" s="5049"/>
      <c r="C94" s="80" t="s">
        <v>156</v>
      </c>
      <c r="D94" s="84">
        <v>34200</v>
      </c>
      <c r="E94" s="504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9"/>
    </row>
    <row r="95" spans="1:68" s="20" customFormat="1" ht="30.95" customHeight="1">
      <c r="A95" s="5055"/>
      <c r="B95" s="5049"/>
      <c r="C95" s="80" t="s">
        <v>69</v>
      </c>
      <c r="D95" s="84">
        <v>174720</v>
      </c>
      <c r="E95" s="5044" t="s">
        <v>70</v>
      </c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9"/>
    </row>
    <row r="96" spans="1:68" s="20" customFormat="1" ht="49.5" customHeight="1">
      <c r="A96" s="5055"/>
      <c r="B96" s="5049"/>
      <c r="C96" s="80" t="s">
        <v>71</v>
      </c>
      <c r="D96" s="84">
        <v>236160</v>
      </c>
      <c r="E96" s="504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9"/>
    </row>
    <row r="97" spans="1:68" s="20" customFormat="1" ht="30.95" customHeight="1">
      <c r="A97" s="5055"/>
      <c r="B97" s="5049"/>
      <c r="C97" s="80" t="s">
        <v>72</v>
      </c>
      <c r="D97" s="84">
        <v>121006</v>
      </c>
      <c r="E97" s="504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9"/>
    </row>
    <row r="98" spans="1:68" s="20" customFormat="1" ht="30.95" customHeight="1">
      <c r="A98" s="5055"/>
      <c r="B98" s="5074"/>
      <c r="C98" s="80" t="s">
        <v>157</v>
      </c>
      <c r="D98" s="84">
        <v>87859</v>
      </c>
      <c r="E98" s="5061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9"/>
    </row>
    <row r="99" spans="1:68" s="20" customFormat="1" ht="30.95" customHeight="1">
      <c r="A99" s="5055"/>
      <c r="B99" s="5054">
        <v>85121</v>
      </c>
      <c r="C99" s="80" t="s">
        <v>73</v>
      </c>
      <c r="D99" s="84">
        <v>246480</v>
      </c>
      <c r="E99" s="5044" t="s">
        <v>74</v>
      </c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9"/>
    </row>
    <row r="100" spans="1:68" s="20" customFormat="1" ht="30.95" customHeight="1">
      <c r="A100" s="5055"/>
      <c r="B100" s="5049"/>
      <c r="C100" s="80" t="s">
        <v>55</v>
      </c>
      <c r="D100" s="84">
        <v>1410276</v>
      </c>
      <c r="E100" s="504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9"/>
    </row>
    <row r="101" spans="1:68" s="20" customFormat="1" ht="30.95" customHeight="1">
      <c r="A101" s="5055"/>
      <c r="B101" s="5049"/>
      <c r="C101" s="80" t="s">
        <v>75</v>
      </c>
      <c r="D101" s="84">
        <v>1321417</v>
      </c>
      <c r="E101" s="5044" t="s">
        <v>76</v>
      </c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9"/>
    </row>
    <row r="102" spans="1:68" s="20" customFormat="1" ht="30.95" customHeight="1">
      <c r="A102" s="5055"/>
      <c r="B102" s="5049"/>
      <c r="C102" s="55" t="s">
        <v>77</v>
      </c>
      <c r="D102" s="84">
        <v>158842</v>
      </c>
      <c r="E102" s="5060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9"/>
    </row>
    <row r="103" spans="1:68" s="20" customFormat="1" ht="47.25" customHeight="1">
      <c r="A103" s="5047">
        <v>851</v>
      </c>
      <c r="B103" s="5054">
        <v>85141</v>
      </c>
      <c r="C103" s="55" t="s">
        <v>78</v>
      </c>
      <c r="D103" s="84">
        <v>509156</v>
      </c>
      <c r="E103" s="5044" t="s">
        <v>79</v>
      </c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9"/>
    </row>
    <row r="104" spans="1:68" s="20" customFormat="1" ht="55.5" customHeight="1">
      <c r="A104" s="5047"/>
      <c r="B104" s="5049"/>
      <c r="C104" s="55" t="s">
        <v>80</v>
      </c>
      <c r="D104" s="84">
        <v>1293500</v>
      </c>
      <c r="E104" s="504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9"/>
    </row>
    <row r="105" spans="1:68" s="20" customFormat="1" ht="55.5" customHeight="1">
      <c r="A105" s="5047"/>
      <c r="B105" s="5072"/>
      <c r="C105" s="55" t="s">
        <v>158</v>
      </c>
      <c r="D105" s="84">
        <v>999980</v>
      </c>
      <c r="E105" s="5048" t="s">
        <v>174</v>
      </c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9"/>
    </row>
    <row r="106" spans="1:68" s="20" customFormat="1" ht="30.95" customHeight="1">
      <c r="A106" s="5047"/>
      <c r="B106" s="5072"/>
      <c r="C106" s="55" t="s">
        <v>173</v>
      </c>
      <c r="D106" s="84">
        <v>150000</v>
      </c>
      <c r="E106" s="504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9"/>
    </row>
    <row r="107" spans="1:68" s="20" customFormat="1" ht="57" customHeight="1">
      <c r="A107" s="5047"/>
      <c r="B107" s="92">
        <v>85148</v>
      </c>
      <c r="C107" s="55" t="s">
        <v>81</v>
      </c>
      <c r="D107" s="84">
        <v>115331</v>
      </c>
      <c r="E107" s="103" t="s">
        <v>82</v>
      </c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9"/>
    </row>
    <row r="108" spans="1:68" s="23" customFormat="1" ht="39.950000000000003" customHeight="1">
      <c r="A108" s="5047">
        <v>852</v>
      </c>
      <c r="B108" s="5073"/>
      <c r="C108" s="5073"/>
      <c r="D108" s="91">
        <f>SUM(D109:D113)</f>
        <v>1002200</v>
      </c>
      <c r="E108" s="11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2"/>
    </row>
    <row r="109" spans="1:68" s="23" customFormat="1" ht="30.95" customHeight="1">
      <c r="A109" s="5047"/>
      <c r="B109" s="5054">
        <v>85217</v>
      </c>
      <c r="C109" s="55" t="s">
        <v>83</v>
      </c>
      <c r="D109" s="84">
        <v>711000</v>
      </c>
      <c r="E109" s="5044" t="s">
        <v>84</v>
      </c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2"/>
    </row>
    <row r="110" spans="1:68" s="23" customFormat="1" ht="51" customHeight="1">
      <c r="A110" s="5047"/>
      <c r="B110" s="5054"/>
      <c r="C110" s="55" t="s">
        <v>85</v>
      </c>
      <c r="D110" s="84">
        <v>189200</v>
      </c>
      <c r="E110" s="5044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2"/>
    </row>
    <row r="111" spans="1:68" s="23" customFormat="1" ht="51.75" customHeight="1">
      <c r="A111" s="5047"/>
      <c r="B111" s="5054"/>
      <c r="C111" s="55" t="s">
        <v>86</v>
      </c>
      <c r="D111" s="84">
        <v>54000</v>
      </c>
      <c r="E111" s="5044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2"/>
    </row>
    <row r="112" spans="1:68" s="23" customFormat="1" ht="30.95" customHeight="1">
      <c r="A112" s="5047"/>
      <c r="B112" s="5054"/>
      <c r="C112" s="55" t="s">
        <v>87</v>
      </c>
      <c r="D112" s="84">
        <v>23000</v>
      </c>
      <c r="E112" s="5044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2"/>
    </row>
    <row r="113" spans="1:68" s="23" customFormat="1" ht="30.95" customHeight="1">
      <c r="A113" s="5047"/>
      <c r="B113" s="5054"/>
      <c r="C113" s="55" t="s">
        <v>172</v>
      </c>
      <c r="D113" s="84">
        <v>25000</v>
      </c>
      <c r="E113" s="5044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2"/>
    </row>
    <row r="114" spans="1:68" s="26" customFormat="1" ht="39.950000000000003" customHeight="1">
      <c r="A114" s="5034">
        <v>853</v>
      </c>
      <c r="B114" s="5070"/>
      <c r="C114" s="5070"/>
      <c r="D114" s="91">
        <f>SUM(D115:D117)</f>
        <v>417800</v>
      </c>
      <c r="E114" s="112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5"/>
    </row>
    <row r="115" spans="1:68" s="29" customFormat="1" ht="30.95" customHeight="1">
      <c r="A115" s="5034"/>
      <c r="B115" s="5071">
        <v>85332</v>
      </c>
      <c r="C115" s="70" t="s">
        <v>88</v>
      </c>
      <c r="D115" s="82">
        <v>27800</v>
      </c>
      <c r="E115" s="5045" t="s">
        <v>178</v>
      </c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8"/>
    </row>
    <row r="116" spans="1:68" s="29" customFormat="1" ht="69.95" customHeight="1">
      <c r="A116" s="5034"/>
      <c r="B116" s="5071"/>
      <c r="C116" s="70" t="s">
        <v>1349</v>
      </c>
      <c r="D116" s="82">
        <v>200000</v>
      </c>
      <c r="E116" s="5045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8"/>
    </row>
    <row r="117" spans="1:68" s="29" customFormat="1" ht="30.95" customHeight="1">
      <c r="A117" s="5034"/>
      <c r="B117" s="5071"/>
      <c r="C117" s="70" t="s">
        <v>89</v>
      </c>
      <c r="D117" s="82">
        <v>190000</v>
      </c>
      <c r="E117" s="5045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8"/>
    </row>
    <row r="118" spans="1:68" s="8" customFormat="1" ht="39.950000000000003" customHeight="1">
      <c r="A118" s="5034">
        <v>921</v>
      </c>
      <c r="B118" s="5063"/>
      <c r="C118" s="5063"/>
      <c r="D118" s="63">
        <f>SUM(D119:D158)</f>
        <v>12064900</v>
      </c>
      <c r="E118" s="113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7"/>
    </row>
    <row r="119" spans="1:68" s="32" customFormat="1" ht="30.95" customHeight="1">
      <c r="A119" s="5034"/>
      <c r="B119" s="5035">
        <v>92106</v>
      </c>
      <c r="C119" s="93" t="s">
        <v>151</v>
      </c>
      <c r="D119" s="81">
        <v>480000</v>
      </c>
      <c r="E119" s="5059" t="s">
        <v>90</v>
      </c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1"/>
    </row>
    <row r="120" spans="1:68" s="32" customFormat="1" ht="30.95" customHeight="1">
      <c r="A120" s="5034"/>
      <c r="B120" s="5035"/>
      <c r="C120" s="93" t="s">
        <v>91</v>
      </c>
      <c r="D120" s="81">
        <v>100000</v>
      </c>
      <c r="E120" s="5064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1"/>
    </row>
    <row r="121" spans="1:68" s="32" customFormat="1" ht="30.95" customHeight="1">
      <c r="A121" s="5034"/>
      <c r="B121" s="5065"/>
      <c r="C121" s="93" t="s">
        <v>150</v>
      </c>
      <c r="D121" s="81">
        <v>3075000</v>
      </c>
      <c r="E121" s="5061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1"/>
    </row>
    <row r="122" spans="1:68" s="35" customFormat="1" ht="57.75" customHeight="1">
      <c r="A122" s="5034"/>
      <c r="B122" s="5068">
        <v>92108</v>
      </c>
      <c r="C122" s="55" t="s">
        <v>92</v>
      </c>
      <c r="D122" s="94">
        <v>426000</v>
      </c>
      <c r="E122" s="5044" t="s">
        <v>93</v>
      </c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4"/>
    </row>
    <row r="123" spans="1:68" s="35" customFormat="1" ht="30.95" customHeight="1">
      <c r="A123" s="5034"/>
      <c r="B123" s="5069"/>
      <c r="C123" s="55" t="s">
        <v>94</v>
      </c>
      <c r="D123" s="94">
        <v>22000</v>
      </c>
      <c r="E123" s="5064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4"/>
    </row>
    <row r="124" spans="1:68" s="35" customFormat="1" ht="30.95" customHeight="1">
      <c r="A124" s="5034"/>
      <c r="B124" s="5069">
        <v>92109</v>
      </c>
      <c r="C124" s="55" t="s">
        <v>95</v>
      </c>
      <c r="D124" s="94">
        <v>200000</v>
      </c>
      <c r="E124" s="5064" t="s">
        <v>179</v>
      </c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4"/>
    </row>
    <row r="125" spans="1:68" s="35" customFormat="1" ht="30.95" customHeight="1">
      <c r="A125" s="5034"/>
      <c r="B125" s="5069"/>
      <c r="C125" s="55" t="s">
        <v>96</v>
      </c>
      <c r="D125" s="94">
        <v>80000</v>
      </c>
      <c r="E125" s="5048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4"/>
    </row>
    <row r="126" spans="1:68" s="35" customFormat="1" ht="30.95" customHeight="1">
      <c r="A126" s="5034"/>
      <c r="B126" s="5069"/>
      <c r="C126" s="55" t="s">
        <v>97</v>
      </c>
      <c r="D126" s="94">
        <v>270000</v>
      </c>
      <c r="E126" s="5048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4"/>
    </row>
    <row r="127" spans="1:68" s="35" customFormat="1" ht="30.95" customHeight="1">
      <c r="A127" s="5034"/>
      <c r="B127" s="5069"/>
      <c r="C127" s="55" t="s">
        <v>98</v>
      </c>
      <c r="D127" s="94">
        <v>300000</v>
      </c>
      <c r="E127" s="5048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4"/>
    </row>
    <row r="128" spans="1:68" s="35" customFormat="1" ht="30.95" customHeight="1">
      <c r="A128" s="5034"/>
      <c r="B128" s="5069"/>
      <c r="C128" s="55" t="s">
        <v>99</v>
      </c>
      <c r="D128" s="94">
        <v>350000</v>
      </c>
      <c r="E128" s="5067" t="s">
        <v>100</v>
      </c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4"/>
    </row>
    <row r="129" spans="1:64" s="35" customFormat="1" ht="30.95" customHeight="1">
      <c r="A129" s="5034"/>
      <c r="B129" s="5069"/>
      <c r="C129" s="95" t="s">
        <v>101</v>
      </c>
      <c r="D129" s="96">
        <v>300000</v>
      </c>
      <c r="E129" s="5060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4"/>
    </row>
    <row r="130" spans="1:64" s="35" customFormat="1" ht="30.95" customHeight="1">
      <c r="A130" s="5034"/>
      <c r="B130" s="5069"/>
      <c r="C130" s="95" t="s">
        <v>102</v>
      </c>
      <c r="D130" s="96">
        <v>15000</v>
      </c>
      <c r="E130" s="5060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4"/>
    </row>
    <row r="131" spans="1:64" s="35" customFormat="1" ht="45.75" customHeight="1">
      <c r="A131" s="5034"/>
      <c r="B131" s="97">
        <v>92110</v>
      </c>
      <c r="C131" s="55" t="s">
        <v>103</v>
      </c>
      <c r="D131" s="96">
        <v>80000</v>
      </c>
      <c r="E131" s="107" t="s">
        <v>180</v>
      </c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4"/>
    </row>
    <row r="132" spans="1:64" s="35" customFormat="1" ht="30.95" customHeight="1">
      <c r="A132" s="5034"/>
      <c r="B132" s="5050">
        <v>92114</v>
      </c>
      <c r="C132" s="55" t="s">
        <v>104</v>
      </c>
      <c r="D132" s="96">
        <v>650500</v>
      </c>
      <c r="E132" s="5059" t="s">
        <v>105</v>
      </c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4"/>
    </row>
    <row r="133" spans="1:64" s="35" customFormat="1" ht="30.95" customHeight="1">
      <c r="A133" s="5034"/>
      <c r="B133" s="5050"/>
      <c r="C133" s="98" t="s">
        <v>106</v>
      </c>
      <c r="D133" s="96">
        <v>797000</v>
      </c>
      <c r="E133" s="5059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4"/>
    </row>
    <row r="134" spans="1:64" s="35" customFormat="1" ht="30.95" customHeight="1">
      <c r="A134" s="5034"/>
      <c r="B134" s="5050"/>
      <c r="C134" s="55" t="s">
        <v>107</v>
      </c>
      <c r="D134" s="96">
        <v>81300</v>
      </c>
      <c r="E134" s="5059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4"/>
    </row>
    <row r="135" spans="1:64" s="35" customFormat="1" ht="30.95" customHeight="1">
      <c r="A135" s="5034"/>
      <c r="B135" s="5050"/>
      <c r="C135" s="55" t="s">
        <v>108</v>
      </c>
      <c r="D135" s="96">
        <v>115500</v>
      </c>
      <c r="E135" s="5059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4"/>
    </row>
    <row r="136" spans="1:64" s="35" customFormat="1" ht="30.95" customHeight="1">
      <c r="A136" s="5034"/>
      <c r="B136" s="5050"/>
      <c r="C136" s="55" t="s">
        <v>109</v>
      </c>
      <c r="D136" s="96">
        <v>77000</v>
      </c>
      <c r="E136" s="5059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4"/>
    </row>
    <row r="137" spans="1:64" s="35" customFormat="1" ht="30.95" customHeight="1">
      <c r="A137" s="5034"/>
      <c r="B137" s="5050"/>
      <c r="C137" s="55" t="s">
        <v>110</v>
      </c>
      <c r="D137" s="96">
        <v>120000</v>
      </c>
      <c r="E137" s="5059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4"/>
    </row>
    <row r="138" spans="1:64" s="35" customFormat="1" ht="30.95" customHeight="1">
      <c r="A138" s="5034"/>
      <c r="B138" s="5050"/>
      <c r="C138" s="55" t="s">
        <v>152</v>
      </c>
      <c r="D138" s="96">
        <v>400000</v>
      </c>
      <c r="E138" s="5059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4"/>
    </row>
    <row r="139" spans="1:64" s="35" customFormat="1" ht="30.95" customHeight="1">
      <c r="A139" s="5034">
        <v>921</v>
      </c>
      <c r="B139" s="5049">
        <v>92114</v>
      </c>
      <c r="C139" s="55" t="s">
        <v>153</v>
      </c>
      <c r="D139" s="96">
        <v>34200</v>
      </c>
      <c r="E139" s="5048" t="s">
        <v>105</v>
      </c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4"/>
    </row>
    <row r="140" spans="1:64" s="35" customFormat="1" ht="30.95" customHeight="1">
      <c r="A140" s="5034"/>
      <c r="B140" s="5049"/>
      <c r="C140" s="55" t="s">
        <v>154</v>
      </c>
      <c r="D140" s="96">
        <v>81300</v>
      </c>
      <c r="E140" s="5048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4"/>
    </row>
    <row r="141" spans="1:64" s="35" customFormat="1" ht="54" customHeight="1">
      <c r="A141" s="5034"/>
      <c r="B141" s="99">
        <v>92116</v>
      </c>
      <c r="C141" s="80" t="s">
        <v>111</v>
      </c>
      <c r="D141" s="96">
        <v>72100</v>
      </c>
      <c r="E141" s="114" t="s">
        <v>112</v>
      </c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4"/>
    </row>
    <row r="142" spans="1:64" s="35" customFormat="1" ht="69.95" customHeight="1">
      <c r="A142" s="5034"/>
      <c r="B142" s="5123">
        <v>92118</v>
      </c>
      <c r="C142" s="55" t="s">
        <v>113</v>
      </c>
      <c r="D142" s="96">
        <v>80000</v>
      </c>
      <c r="E142" s="5066" t="s">
        <v>114</v>
      </c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4"/>
    </row>
    <row r="143" spans="1:64" s="35" customFormat="1" ht="63.75" customHeight="1">
      <c r="A143" s="5034"/>
      <c r="B143" s="5124"/>
      <c r="C143" s="95" t="s">
        <v>115</v>
      </c>
      <c r="D143" s="96">
        <v>300000</v>
      </c>
      <c r="E143" s="5067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4"/>
    </row>
    <row r="144" spans="1:64" s="37" customFormat="1" ht="30.95" customHeight="1">
      <c r="A144" s="5034"/>
      <c r="B144" s="5124"/>
      <c r="C144" s="95" t="s">
        <v>116</v>
      </c>
      <c r="D144" s="96">
        <v>120000</v>
      </c>
      <c r="E144" s="5067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6"/>
    </row>
    <row r="145" spans="1:64" s="37" customFormat="1" ht="30.95" customHeight="1">
      <c r="A145" s="5034"/>
      <c r="B145" s="5124"/>
      <c r="C145" s="95" t="s">
        <v>117</v>
      </c>
      <c r="D145" s="96">
        <v>213000</v>
      </c>
      <c r="E145" s="5059" t="s">
        <v>118</v>
      </c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6"/>
    </row>
    <row r="146" spans="1:64" s="37" customFormat="1" ht="30.95" customHeight="1">
      <c r="A146" s="5034"/>
      <c r="B146" s="5124"/>
      <c r="C146" s="95" t="s">
        <v>119</v>
      </c>
      <c r="D146" s="96">
        <v>90000</v>
      </c>
      <c r="E146" s="506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6"/>
    </row>
    <row r="147" spans="1:64" s="37" customFormat="1" ht="30.95" customHeight="1">
      <c r="A147" s="5034"/>
      <c r="B147" s="5124"/>
      <c r="C147" s="95" t="s">
        <v>120</v>
      </c>
      <c r="D147" s="96">
        <v>25000</v>
      </c>
      <c r="E147" s="506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6"/>
    </row>
    <row r="148" spans="1:64" s="39" customFormat="1" ht="52.5" customHeight="1">
      <c r="A148" s="5034"/>
      <c r="B148" s="5124"/>
      <c r="C148" s="55" t="s">
        <v>121</v>
      </c>
      <c r="D148" s="81">
        <v>835000</v>
      </c>
      <c r="E148" s="5064" t="s">
        <v>181</v>
      </c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8"/>
    </row>
    <row r="149" spans="1:64" s="39" customFormat="1" ht="46.5" customHeight="1">
      <c r="A149" s="5034"/>
      <c r="B149" s="5124"/>
      <c r="C149" s="55" t="s">
        <v>122</v>
      </c>
      <c r="D149" s="81">
        <v>100000</v>
      </c>
      <c r="E149" s="506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8"/>
    </row>
    <row r="150" spans="1:64" s="39" customFormat="1" ht="30.95" customHeight="1">
      <c r="A150" s="5034"/>
      <c r="B150" s="5124"/>
      <c r="C150" s="95" t="s">
        <v>123</v>
      </c>
      <c r="D150" s="81">
        <v>50000</v>
      </c>
      <c r="E150" s="506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8"/>
    </row>
    <row r="151" spans="1:64" s="39" customFormat="1" ht="30.95" customHeight="1">
      <c r="A151" s="5034"/>
      <c r="B151" s="5124"/>
      <c r="C151" s="95" t="s">
        <v>124</v>
      </c>
      <c r="D151" s="81">
        <v>110000</v>
      </c>
      <c r="E151" s="506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8"/>
    </row>
    <row r="152" spans="1:64" s="39" customFormat="1" ht="30.95" customHeight="1">
      <c r="A152" s="5034"/>
      <c r="B152" s="5124"/>
      <c r="C152" s="95" t="s">
        <v>116</v>
      </c>
      <c r="D152" s="81">
        <v>110000</v>
      </c>
      <c r="E152" s="5044" t="s">
        <v>125</v>
      </c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8"/>
    </row>
    <row r="153" spans="1:64" s="39" customFormat="1" ht="41.25" customHeight="1">
      <c r="A153" s="5034"/>
      <c r="B153" s="5124"/>
      <c r="C153" s="95" t="s">
        <v>155</v>
      </c>
      <c r="D153" s="81">
        <v>1600000</v>
      </c>
      <c r="E153" s="5061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8"/>
    </row>
    <row r="154" spans="1:64" s="39" customFormat="1" ht="30.95" customHeight="1">
      <c r="A154" s="5034"/>
      <c r="B154" s="5124"/>
      <c r="C154" s="95" t="s">
        <v>126</v>
      </c>
      <c r="D154" s="81">
        <v>65000</v>
      </c>
      <c r="E154" s="5059" t="s">
        <v>127</v>
      </c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8"/>
    </row>
    <row r="155" spans="1:64" s="39" customFormat="1" ht="30.95" customHeight="1">
      <c r="A155" s="5034"/>
      <c r="B155" s="5125"/>
      <c r="C155" s="95" t="s">
        <v>128</v>
      </c>
      <c r="D155" s="81">
        <v>45000</v>
      </c>
      <c r="E155" s="506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8"/>
    </row>
    <row r="156" spans="1:64" s="39" customFormat="1" ht="30.95" customHeight="1">
      <c r="A156" s="5034">
        <v>921</v>
      </c>
      <c r="B156" s="5035">
        <v>92118</v>
      </c>
      <c r="C156" s="55" t="s">
        <v>129</v>
      </c>
      <c r="D156" s="81">
        <v>35000</v>
      </c>
      <c r="E156" s="5059" t="s">
        <v>182</v>
      </c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8"/>
    </row>
    <row r="157" spans="1:64" s="39" customFormat="1" ht="30.95" customHeight="1">
      <c r="A157" s="5034"/>
      <c r="B157" s="5035"/>
      <c r="C157" s="95" t="s">
        <v>123</v>
      </c>
      <c r="D157" s="81">
        <v>60000</v>
      </c>
      <c r="E157" s="5059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8"/>
    </row>
    <row r="158" spans="1:64" s="41" customFormat="1" ht="70.5" customHeight="1">
      <c r="A158" s="5034"/>
      <c r="B158" s="5035"/>
      <c r="C158" s="95" t="s">
        <v>130</v>
      </c>
      <c r="D158" s="81">
        <v>100000</v>
      </c>
      <c r="E158" s="115" t="s">
        <v>131</v>
      </c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40"/>
    </row>
    <row r="159" spans="1:64" s="8" customFormat="1" ht="39.950000000000003" customHeight="1">
      <c r="A159" s="5055">
        <v>926</v>
      </c>
      <c r="B159" s="5063"/>
      <c r="C159" s="5063"/>
      <c r="D159" s="63">
        <f>D160</f>
        <v>250000</v>
      </c>
      <c r="E159" s="113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7"/>
    </row>
    <row r="160" spans="1:64" s="32" customFormat="1" ht="62.25" customHeight="1" thickBot="1">
      <c r="A160" s="5062"/>
      <c r="B160" s="116">
        <v>92605</v>
      </c>
      <c r="C160" s="117" t="s">
        <v>160</v>
      </c>
      <c r="D160" s="118">
        <v>250000</v>
      </c>
      <c r="E160" s="119" t="s">
        <v>183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1"/>
    </row>
    <row r="161" spans="1:64" s="44" customFormat="1" ht="36" customHeight="1" thickBot="1">
      <c r="A161" s="5058" t="s">
        <v>132</v>
      </c>
      <c r="B161" s="5058"/>
      <c r="C161" s="5058"/>
      <c r="D161" s="59">
        <f>SUM(D118,D114,D108,D66,D61,D35,D14,D5,D51,D30,D33,D55,D159)</f>
        <v>199669916</v>
      </c>
      <c r="E161" s="5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3"/>
    </row>
    <row r="162" spans="1:64" ht="18.75" thickBot="1">
      <c r="E162" s="46"/>
    </row>
    <row r="163" spans="1:64" ht="18.75" thickBot="1">
      <c r="D163" s="60"/>
      <c r="E163" s="46"/>
    </row>
    <row r="164" spans="1:64">
      <c r="E164" s="46"/>
    </row>
    <row r="165" spans="1:64">
      <c r="E165" s="46"/>
    </row>
    <row r="166" spans="1:64">
      <c r="E166" s="58"/>
    </row>
    <row r="167" spans="1:64">
      <c r="E167" s="46"/>
    </row>
    <row r="168" spans="1:64">
      <c r="E168" s="46"/>
    </row>
    <row r="169" spans="1:64">
      <c r="E169" s="46"/>
    </row>
    <row r="170" spans="1:64">
      <c r="E170" s="46"/>
    </row>
    <row r="171" spans="1:64">
      <c r="E171" s="46"/>
    </row>
    <row r="172" spans="1:64">
      <c r="E172" s="46"/>
    </row>
    <row r="173" spans="1:64">
      <c r="E173" s="46"/>
    </row>
    <row r="174" spans="1:64">
      <c r="E174" s="46"/>
    </row>
    <row r="175" spans="1:64">
      <c r="E175" s="46"/>
    </row>
    <row r="176" spans="1:64">
      <c r="E176" s="46"/>
    </row>
    <row r="177" spans="5:5">
      <c r="E177" s="46"/>
    </row>
    <row r="178" spans="5:5">
      <c r="E178" s="46"/>
    </row>
    <row r="179" spans="5:5">
      <c r="E179" s="46"/>
    </row>
    <row r="180" spans="5:5">
      <c r="E180" s="46"/>
    </row>
    <row r="181" spans="5:5">
      <c r="E181" s="46"/>
    </row>
    <row r="182" spans="5:5">
      <c r="E182" s="46"/>
    </row>
    <row r="183" spans="5:5">
      <c r="E183" s="46"/>
    </row>
    <row r="184" spans="5:5">
      <c r="E184" s="46"/>
    </row>
    <row r="185" spans="5:5">
      <c r="E185" s="46"/>
    </row>
    <row r="186" spans="5:5">
      <c r="E186" s="46"/>
    </row>
    <row r="187" spans="5:5">
      <c r="E187" s="46"/>
    </row>
    <row r="188" spans="5:5">
      <c r="E188" s="46"/>
    </row>
    <row r="189" spans="5:5">
      <c r="E189" s="46"/>
    </row>
    <row r="190" spans="5:5">
      <c r="E190" s="46"/>
    </row>
    <row r="191" spans="5:5">
      <c r="E191" s="46"/>
    </row>
    <row r="192" spans="5:5">
      <c r="E192" s="46"/>
    </row>
    <row r="193" spans="5:5">
      <c r="E193" s="46"/>
    </row>
    <row r="194" spans="5:5">
      <c r="E194" s="46"/>
    </row>
    <row r="195" spans="5:5">
      <c r="E195" s="46"/>
    </row>
    <row r="196" spans="5:5">
      <c r="E196" s="46"/>
    </row>
    <row r="197" spans="5:5">
      <c r="E197" s="46"/>
    </row>
    <row r="198" spans="5:5">
      <c r="E198" s="46"/>
    </row>
    <row r="199" spans="5:5">
      <c r="E199" s="46"/>
    </row>
    <row r="200" spans="5:5">
      <c r="E200" s="46"/>
    </row>
    <row r="201" spans="5:5">
      <c r="E201" s="46"/>
    </row>
    <row r="202" spans="5:5">
      <c r="E202" s="46"/>
    </row>
    <row r="203" spans="5:5">
      <c r="E203" s="46"/>
    </row>
    <row r="204" spans="5:5">
      <c r="E204" s="46"/>
    </row>
    <row r="205" spans="5:5">
      <c r="E205" s="46"/>
    </row>
    <row r="206" spans="5:5">
      <c r="E206" s="46"/>
    </row>
    <row r="207" spans="5:5">
      <c r="E207" s="46"/>
    </row>
    <row r="208" spans="5:5">
      <c r="E208" s="46"/>
    </row>
    <row r="209" spans="1:16093">
      <c r="E209" s="46"/>
    </row>
    <row r="210" spans="1:16093">
      <c r="E210" s="46"/>
    </row>
    <row r="211" spans="1:16093">
      <c r="E211" s="46"/>
    </row>
    <row r="212" spans="1:16093">
      <c r="E212" s="46"/>
    </row>
    <row r="213" spans="1:16093">
      <c r="E213" s="46"/>
    </row>
    <row r="214" spans="1:16093">
      <c r="E214" s="46"/>
    </row>
    <row r="215" spans="1:16093">
      <c r="E215" s="46"/>
    </row>
    <row r="216" spans="1:16093">
      <c r="E216" s="46"/>
    </row>
    <row r="217" spans="1:16093">
      <c r="E217" s="46"/>
    </row>
    <row r="218" spans="1:16093">
      <c r="E218" s="46"/>
    </row>
    <row r="219" spans="1:16093">
      <c r="E219" s="46"/>
    </row>
    <row r="220" spans="1:16093">
      <c r="E220" s="46"/>
    </row>
    <row r="221" spans="1:16093">
      <c r="E221" s="46"/>
    </row>
    <row r="222" spans="1:16093">
      <c r="E222" s="46"/>
    </row>
    <row r="223" spans="1:16093">
      <c r="E223" s="46"/>
    </row>
    <row r="224" spans="1:16093" s="49" customFormat="1">
      <c r="A224" s="45"/>
      <c r="B224" s="46"/>
      <c r="C224" s="47"/>
      <c r="D224" s="48"/>
      <c r="E224" s="46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  <c r="JB224" s="1"/>
      <c r="JC224" s="1"/>
      <c r="JD224" s="1"/>
      <c r="JE224" s="1"/>
      <c r="JF224" s="1"/>
      <c r="JG224" s="1"/>
      <c r="JH224" s="1"/>
      <c r="JI224" s="1"/>
      <c r="JJ224" s="1"/>
      <c r="JK224" s="1"/>
      <c r="JL224" s="1"/>
      <c r="JM224" s="1"/>
      <c r="JN224" s="1"/>
      <c r="JO224" s="1"/>
      <c r="JP224" s="1"/>
      <c r="JQ224" s="1"/>
      <c r="JR224" s="1"/>
      <c r="JS224" s="1"/>
      <c r="JT224" s="1"/>
      <c r="JU224" s="1"/>
      <c r="JV224" s="1"/>
      <c r="JW224" s="1"/>
      <c r="JX224" s="1"/>
      <c r="JY224" s="1"/>
      <c r="JZ224" s="1"/>
      <c r="KA224" s="1"/>
      <c r="KB224" s="1"/>
      <c r="KC224" s="1"/>
      <c r="KD224" s="1"/>
      <c r="KE224" s="1"/>
      <c r="KF224" s="1"/>
      <c r="KG224" s="1"/>
      <c r="KH224" s="1"/>
      <c r="KI224" s="1"/>
      <c r="KJ224" s="1"/>
      <c r="KK224" s="1"/>
      <c r="KL224" s="1"/>
      <c r="KM224" s="1"/>
      <c r="KN224" s="1"/>
      <c r="KO224" s="1"/>
      <c r="KP224" s="1"/>
      <c r="KQ224" s="1"/>
      <c r="KR224" s="1"/>
      <c r="KS224" s="1"/>
      <c r="KT224" s="1"/>
      <c r="KU224" s="1"/>
      <c r="KV224" s="1"/>
      <c r="KW224" s="1"/>
      <c r="KX224" s="1"/>
      <c r="KY224" s="1"/>
      <c r="KZ224" s="1"/>
      <c r="LA224" s="1"/>
      <c r="LB224" s="1"/>
      <c r="LC224" s="1"/>
      <c r="LD224" s="1"/>
      <c r="LE224" s="1"/>
      <c r="LF224" s="1"/>
      <c r="LG224" s="1"/>
      <c r="LH224" s="1"/>
      <c r="LI224" s="1"/>
      <c r="LJ224" s="1"/>
      <c r="LK224" s="1"/>
      <c r="LL224" s="1"/>
      <c r="LM224" s="1"/>
      <c r="LN224" s="1"/>
      <c r="LO224" s="1"/>
      <c r="LP224" s="1"/>
      <c r="LQ224" s="1"/>
      <c r="LR224" s="1"/>
      <c r="LS224" s="1"/>
      <c r="LT224" s="1"/>
      <c r="LU224" s="1"/>
      <c r="LV224" s="1"/>
      <c r="LW224" s="1"/>
      <c r="LX224" s="1"/>
      <c r="LY224" s="1"/>
      <c r="LZ224" s="1"/>
      <c r="MA224" s="1"/>
      <c r="MB224" s="1"/>
      <c r="MC224" s="1"/>
      <c r="MD224" s="1"/>
      <c r="ME224" s="1"/>
      <c r="MF224" s="1"/>
      <c r="MG224" s="1"/>
      <c r="MH224" s="1"/>
      <c r="MI224" s="1"/>
      <c r="MJ224" s="1"/>
      <c r="MK224" s="1"/>
      <c r="ML224" s="1"/>
      <c r="MM224" s="1"/>
      <c r="MN224" s="1"/>
      <c r="MO224" s="1"/>
      <c r="MP224" s="1"/>
      <c r="MQ224" s="1"/>
      <c r="MR224" s="1"/>
      <c r="MS224" s="1"/>
      <c r="MT224" s="1"/>
      <c r="MU224" s="1"/>
      <c r="MV224" s="1"/>
      <c r="MW224" s="1"/>
      <c r="MX224" s="1"/>
      <c r="MY224" s="1"/>
      <c r="MZ224" s="1"/>
      <c r="NA224" s="1"/>
      <c r="NB224" s="1"/>
      <c r="NC224" s="1"/>
      <c r="ND224" s="1"/>
      <c r="NE224" s="1"/>
      <c r="NF224" s="1"/>
      <c r="NG224" s="1"/>
      <c r="NH224" s="1"/>
      <c r="NI224" s="1"/>
      <c r="NJ224" s="1"/>
      <c r="NK224" s="1"/>
      <c r="NL224" s="1"/>
      <c r="NM224" s="1"/>
      <c r="NN224" s="1"/>
      <c r="NO224" s="1"/>
      <c r="NP224" s="1"/>
      <c r="NQ224" s="1"/>
      <c r="NR224" s="1"/>
      <c r="NS224" s="1"/>
      <c r="NT224" s="1"/>
      <c r="NU224" s="1"/>
      <c r="NV224" s="1"/>
      <c r="NW224" s="1"/>
      <c r="NX224" s="1"/>
      <c r="NY224" s="1"/>
      <c r="NZ224" s="1"/>
      <c r="OA224" s="1"/>
      <c r="OB224" s="1"/>
      <c r="OC224" s="1"/>
      <c r="OD224" s="1"/>
      <c r="OE224" s="1"/>
      <c r="OF224" s="1"/>
      <c r="OG224" s="1"/>
      <c r="OH224" s="1"/>
      <c r="OI224" s="1"/>
      <c r="OJ224" s="1"/>
      <c r="OK224" s="1"/>
      <c r="OL224" s="1"/>
      <c r="OM224" s="1"/>
      <c r="ON224" s="1"/>
      <c r="OO224" s="1"/>
      <c r="OP224" s="1"/>
      <c r="OQ224" s="1"/>
      <c r="OR224" s="1"/>
      <c r="OS224" s="1"/>
      <c r="OT224" s="1"/>
      <c r="OU224" s="1"/>
      <c r="OV224" s="1"/>
      <c r="OW224" s="1"/>
      <c r="OX224" s="1"/>
      <c r="OY224" s="1"/>
      <c r="OZ224" s="1"/>
      <c r="PA224" s="1"/>
      <c r="PB224" s="1"/>
      <c r="PC224" s="1"/>
      <c r="PD224" s="1"/>
      <c r="PE224" s="1"/>
      <c r="PF224" s="1"/>
      <c r="PG224" s="1"/>
      <c r="PH224" s="1"/>
      <c r="PI224" s="1"/>
      <c r="PJ224" s="1"/>
      <c r="PK224" s="1"/>
      <c r="PL224" s="1"/>
      <c r="PM224" s="1"/>
      <c r="PN224" s="1"/>
      <c r="PO224" s="1"/>
      <c r="PP224" s="1"/>
      <c r="PQ224" s="1"/>
      <c r="PR224" s="1"/>
      <c r="PS224" s="1"/>
      <c r="PT224" s="1"/>
      <c r="PU224" s="1"/>
      <c r="PV224" s="1"/>
      <c r="PW224" s="1"/>
      <c r="PX224" s="1"/>
      <c r="PY224" s="1"/>
      <c r="PZ224" s="1"/>
      <c r="QA224" s="1"/>
      <c r="QB224" s="1"/>
      <c r="QC224" s="1"/>
      <c r="QD224" s="1"/>
      <c r="QE224" s="1"/>
      <c r="QF224" s="1"/>
      <c r="QG224" s="1"/>
      <c r="QH224" s="1"/>
      <c r="QI224" s="1"/>
      <c r="QJ224" s="1"/>
      <c r="QK224" s="1"/>
      <c r="QL224" s="1"/>
      <c r="QM224" s="1"/>
      <c r="QN224" s="1"/>
      <c r="QO224" s="1"/>
      <c r="QP224" s="1"/>
      <c r="QQ224" s="1"/>
      <c r="QR224" s="1"/>
      <c r="QS224" s="1"/>
      <c r="QT224" s="1"/>
      <c r="QU224" s="1"/>
      <c r="QV224" s="1"/>
      <c r="QW224" s="1"/>
      <c r="QX224" s="1"/>
      <c r="QY224" s="1"/>
      <c r="QZ224" s="1"/>
      <c r="RA224" s="1"/>
      <c r="RB224" s="1"/>
      <c r="RC224" s="1"/>
      <c r="RD224" s="1"/>
      <c r="RE224" s="1"/>
      <c r="RF224" s="1"/>
      <c r="RG224" s="1"/>
      <c r="RH224" s="1"/>
      <c r="RI224" s="1"/>
      <c r="RJ224" s="1"/>
      <c r="RK224" s="1"/>
      <c r="RL224" s="1"/>
      <c r="RM224" s="1"/>
      <c r="RN224" s="1"/>
      <c r="RO224" s="1"/>
      <c r="RP224" s="1"/>
      <c r="RQ224" s="1"/>
      <c r="RR224" s="1"/>
      <c r="RS224" s="1"/>
      <c r="RT224" s="1"/>
      <c r="RU224" s="1"/>
      <c r="RV224" s="1"/>
      <c r="RW224" s="1"/>
      <c r="RX224" s="1"/>
      <c r="RY224" s="1"/>
      <c r="RZ224" s="1"/>
      <c r="SA224" s="1"/>
      <c r="SB224" s="1"/>
      <c r="SC224" s="1"/>
      <c r="SD224" s="1"/>
      <c r="SE224" s="1"/>
      <c r="SF224" s="1"/>
      <c r="SG224" s="1"/>
      <c r="SH224" s="1"/>
      <c r="SI224" s="1"/>
      <c r="SJ224" s="1"/>
      <c r="SK224" s="1"/>
      <c r="SL224" s="1"/>
      <c r="SM224" s="1"/>
      <c r="SN224" s="1"/>
      <c r="SO224" s="1"/>
      <c r="SP224" s="1"/>
      <c r="SQ224" s="1"/>
      <c r="SR224" s="1"/>
      <c r="SS224" s="1"/>
      <c r="ST224" s="1"/>
      <c r="SU224" s="1"/>
      <c r="SV224" s="1"/>
      <c r="SW224" s="1"/>
      <c r="SX224" s="1"/>
      <c r="SY224" s="1"/>
      <c r="SZ224" s="1"/>
      <c r="TA224" s="1"/>
      <c r="TB224" s="1"/>
      <c r="TC224" s="1"/>
      <c r="TD224" s="1"/>
      <c r="TE224" s="1"/>
      <c r="TF224" s="1"/>
      <c r="TG224" s="1"/>
      <c r="TH224" s="1"/>
      <c r="TI224" s="1"/>
      <c r="TJ224" s="1"/>
      <c r="TK224" s="1"/>
      <c r="TL224" s="1"/>
      <c r="TM224" s="1"/>
      <c r="TN224" s="1"/>
      <c r="TO224" s="1"/>
      <c r="TP224" s="1"/>
      <c r="TQ224" s="1"/>
      <c r="TR224" s="1"/>
      <c r="TS224" s="1"/>
      <c r="TT224" s="1"/>
      <c r="TU224" s="1"/>
      <c r="TV224" s="1"/>
      <c r="TW224" s="1"/>
      <c r="TX224" s="1"/>
      <c r="TY224" s="1"/>
      <c r="TZ224" s="1"/>
      <c r="UA224" s="1"/>
      <c r="UB224" s="1"/>
      <c r="UC224" s="1"/>
      <c r="UD224" s="1"/>
      <c r="UE224" s="1"/>
      <c r="UF224" s="1"/>
      <c r="UG224" s="1"/>
      <c r="UH224" s="1"/>
      <c r="UI224" s="1"/>
      <c r="UJ224" s="1"/>
      <c r="UK224" s="1"/>
      <c r="UL224" s="1"/>
      <c r="UM224" s="1"/>
      <c r="UN224" s="1"/>
      <c r="UO224" s="1"/>
      <c r="UP224" s="1"/>
      <c r="UQ224" s="1"/>
      <c r="UR224" s="1"/>
      <c r="US224" s="1"/>
      <c r="UT224" s="1"/>
      <c r="UU224" s="1"/>
      <c r="UV224" s="1"/>
      <c r="UW224" s="1"/>
      <c r="UX224" s="1"/>
      <c r="UY224" s="1"/>
      <c r="UZ224" s="1"/>
      <c r="VA224" s="1"/>
      <c r="VB224" s="1"/>
      <c r="VC224" s="1"/>
      <c r="VD224" s="1"/>
      <c r="VE224" s="1"/>
      <c r="VF224" s="1"/>
      <c r="VG224" s="1"/>
      <c r="VH224" s="1"/>
      <c r="VI224" s="1"/>
      <c r="VJ224" s="1"/>
      <c r="VK224" s="1"/>
      <c r="VL224" s="1"/>
      <c r="VM224" s="1"/>
      <c r="VN224" s="1"/>
      <c r="VO224" s="1"/>
      <c r="VP224" s="1"/>
      <c r="VQ224" s="1"/>
      <c r="VR224" s="1"/>
      <c r="VS224" s="1"/>
      <c r="VT224" s="1"/>
      <c r="VU224" s="1"/>
      <c r="VV224" s="1"/>
      <c r="VW224" s="1"/>
      <c r="VX224" s="1"/>
      <c r="VY224" s="1"/>
      <c r="VZ224" s="1"/>
      <c r="WA224" s="1"/>
      <c r="WB224" s="1"/>
      <c r="WC224" s="1"/>
      <c r="WD224" s="1"/>
      <c r="WE224" s="1"/>
      <c r="WF224" s="1"/>
      <c r="WG224" s="1"/>
      <c r="WH224" s="1"/>
      <c r="WI224" s="1"/>
      <c r="WJ224" s="1"/>
      <c r="WK224" s="1"/>
      <c r="WL224" s="1"/>
      <c r="WM224" s="1"/>
      <c r="WN224" s="1"/>
      <c r="WO224" s="1"/>
      <c r="WP224" s="1"/>
      <c r="WQ224" s="1"/>
      <c r="WR224" s="1"/>
      <c r="WS224" s="1"/>
      <c r="WT224" s="1"/>
      <c r="WU224" s="1"/>
      <c r="WV224" s="1"/>
      <c r="WW224" s="1"/>
      <c r="WX224" s="1"/>
      <c r="WY224" s="1"/>
      <c r="WZ224" s="1"/>
      <c r="XA224" s="1"/>
      <c r="XB224" s="1"/>
      <c r="XC224" s="1"/>
      <c r="XD224" s="1"/>
      <c r="XE224" s="1"/>
      <c r="XF224" s="1"/>
      <c r="XG224" s="1"/>
      <c r="XH224" s="1"/>
      <c r="XI224" s="1"/>
      <c r="XJ224" s="1"/>
      <c r="XK224" s="1"/>
      <c r="XL224" s="1"/>
      <c r="XM224" s="1"/>
      <c r="XN224" s="1"/>
      <c r="XO224" s="1"/>
      <c r="XP224" s="1"/>
      <c r="XQ224" s="1"/>
      <c r="XR224" s="1"/>
      <c r="XS224" s="1"/>
      <c r="XT224" s="1"/>
      <c r="XU224" s="1"/>
      <c r="XV224" s="1"/>
      <c r="XW224" s="1"/>
      <c r="XX224" s="1"/>
      <c r="XY224" s="1"/>
      <c r="XZ224" s="1"/>
      <c r="YA224" s="1"/>
      <c r="YB224" s="1"/>
      <c r="YC224" s="1"/>
      <c r="YD224" s="1"/>
      <c r="YE224" s="1"/>
      <c r="YF224" s="1"/>
      <c r="YG224" s="1"/>
      <c r="YH224" s="1"/>
      <c r="YI224" s="1"/>
      <c r="YJ224" s="1"/>
      <c r="YK224" s="1"/>
      <c r="YL224" s="1"/>
      <c r="YM224" s="1"/>
      <c r="YN224" s="1"/>
      <c r="YO224" s="1"/>
      <c r="YP224" s="1"/>
      <c r="YQ224" s="1"/>
      <c r="YR224" s="1"/>
      <c r="YS224" s="1"/>
      <c r="YT224" s="1"/>
      <c r="YU224" s="1"/>
      <c r="YV224" s="1"/>
      <c r="YW224" s="1"/>
      <c r="YX224" s="1"/>
      <c r="YY224" s="1"/>
      <c r="YZ224" s="1"/>
      <c r="ZA224" s="1"/>
      <c r="ZB224" s="1"/>
      <c r="ZC224" s="1"/>
      <c r="ZD224" s="1"/>
      <c r="ZE224" s="1"/>
      <c r="ZF224" s="1"/>
      <c r="ZG224" s="1"/>
      <c r="ZH224" s="1"/>
      <c r="ZI224" s="1"/>
      <c r="ZJ224" s="1"/>
      <c r="ZK224" s="1"/>
      <c r="ZL224" s="1"/>
      <c r="ZM224" s="1"/>
      <c r="ZN224" s="1"/>
      <c r="ZO224" s="1"/>
      <c r="ZP224" s="1"/>
      <c r="ZQ224" s="1"/>
      <c r="ZR224" s="1"/>
      <c r="ZS224" s="1"/>
      <c r="ZT224" s="1"/>
      <c r="ZU224" s="1"/>
      <c r="ZV224" s="1"/>
      <c r="ZW224" s="1"/>
      <c r="ZX224" s="1"/>
      <c r="ZY224" s="1"/>
      <c r="ZZ224" s="1"/>
      <c r="AAA224" s="1"/>
      <c r="AAB224" s="1"/>
      <c r="AAC224" s="1"/>
      <c r="AAD224" s="1"/>
      <c r="AAE224" s="1"/>
      <c r="AAF224" s="1"/>
      <c r="AAG224" s="1"/>
      <c r="AAH224" s="1"/>
      <c r="AAI224" s="1"/>
      <c r="AAJ224" s="1"/>
      <c r="AAK224" s="1"/>
      <c r="AAL224" s="1"/>
      <c r="AAM224" s="1"/>
      <c r="AAN224" s="1"/>
      <c r="AAO224" s="1"/>
      <c r="AAP224" s="1"/>
      <c r="AAQ224" s="1"/>
      <c r="AAR224" s="1"/>
      <c r="AAS224" s="1"/>
      <c r="AAT224" s="1"/>
      <c r="AAU224" s="1"/>
      <c r="AAV224" s="1"/>
      <c r="AAW224" s="1"/>
      <c r="AAX224" s="1"/>
      <c r="AAY224" s="1"/>
      <c r="AAZ224" s="1"/>
      <c r="ABA224" s="1"/>
      <c r="ABB224" s="1"/>
      <c r="ABC224" s="1"/>
      <c r="ABD224" s="1"/>
      <c r="ABE224" s="1"/>
      <c r="ABF224" s="1"/>
      <c r="ABG224" s="1"/>
      <c r="ABH224" s="1"/>
      <c r="ABI224" s="1"/>
      <c r="ABJ224" s="1"/>
      <c r="ABK224" s="1"/>
      <c r="ABL224" s="1"/>
      <c r="ABM224" s="1"/>
      <c r="ABN224" s="1"/>
      <c r="ABO224" s="1"/>
      <c r="ABP224" s="1"/>
      <c r="ABQ224" s="1"/>
      <c r="ABR224" s="1"/>
      <c r="ABS224" s="1"/>
      <c r="ABT224" s="1"/>
      <c r="ABU224" s="1"/>
      <c r="ABV224" s="1"/>
      <c r="ABW224" s="1"/>
      <c r="ABX224" s="1"/>
      <c r="ABY224" s="1"/>
      <c r="ABZ224" s="1"/>
      <c r="ACA224" s="1"/>
      <c r="ACB224" s="1"/>
      <c r="ACC224" s="1"/>
      <c r="ACD224" s="1"/>
      <c r="ACE224" s="1"/>
      <c r="ACF224" s="1"/>
      <c r="ACG224" s="1"/>
      <c r="ACH224" s="1"/>
      <c r="ACI224" s="1"/>
      <c r="ACJ224" s="1"/>
      <c r="ACK224" s="1"/>
      <c r="ACL224" s="1"/>
      <c r="ACM224" s="1"/>
      <c r="ACN224" s="1"/>
      <c r="ACO224" s="1"/>
      <c r="ACP224" s="1"/>
      <c r="ACQ224" s="1"/>
      <c r="ACR224" s="1"/>
      <c r="ACS224" s="1"/>
      <c r="ACT224" s="1"/>
      <c r="ACU224" s="1"/>
      <c r="ACV224" s="1"/>
      <c r="ACW224" s="1"/>
      <c r="ACX224" s="1"/>
      <c r="ACY224" s="1"/>
      <c r="ACZ224" s="1"/>
      <c r="ADA224" s="1"/>
      <c r="ADB224" s="1"/>
      <c r="ADC224" s="1"/>
      <c r="ADD224" s="1"/>
      <c r="ADE224" s="1"/>
      <c r="ADF224" s="1"/>
      <c r="ADG224" s="1"/>
      <c r="ADH224" s="1"/>
      <c r="ADI224" s="1"/>
      <c r="ADJ224" s="1"/>
      <c r="ADK224" s="1"/>
      <c r="ADL224" s="1"/>
      <c r="ADM224" s="1"/>
      <c r="ADN224" s="1"/>
      <c r="ADO224" s="1"/>
      <c r="ADP224" s="1"/>
      <c r="ADQ224" s="1"/>
      <c r="ADR224" s="1"/>
      <c r="ADS224" s="1"/>
      <c r="ADT224" s="1"/>
      <c r="ADU224" s="1"/>
      <c r="ADV224" s="1"/>
      <c r="ADW224" s="1"/>
      <c r="ADX224" s="1"/>
      <c r="ADY224" s="1"/>
      <c r="ADZ224" s="1"/>
      <c r="AEA224" s="1"/>
      <c r="AEB224" s="1"/>
      <c r="AEC224" s="1"/>
      <c r="AED224" s="1"/>
      <c r="AEE224" s="1"/>
      <c r="AEF224" s="1"/>
      <c r="AEG224" s="1"/>
      <c r="AEH224" s="1"/>
      <c r="AEI224" s="1"/>
      <c r="AEJ224" s="1"/>
      <c r="AEK224" s="1"/>
      <c r="AEL224" s="1"/>
      <c r="AEM224" s="1"/>
      <c r="AEN224" s="1"/>
      <c r="AEO224" s="1"/>
      <c r="AEP224" s="1"/>
      <c r="AEQ224" s="1"/>
      <c r="AER224" s="1"/>
      <c r="AES224" s="1"/>
      <c r="AET224" s="1"/>
      <c r="AEU224" s="1"/>
      <c r="AEV224" s="1"/>
      <c r="AEW224" s="1"/>
      <c r="AEX224" s="1"/>
      <c r="AEY224" s="1"/>
      <c r="AEZ224" s="1"/>
      <c r="AFA224" s="1"/>
      <c r="AFB224" s="1"/>
      <c r="AFC224" s="1"/>
      <c r="AFD224" s="1"/>
      <c r="AFE224" s="1"/>
      <c r="AFF224" s="1"/>
      <c r="AFG224" s="1"/>
      <c r="AFH224" s="1"/>
      <c r="AFI224" s="1"/>
      <c r="AFJ224" s="1"/>
      <c r="AFK224" s="1"/>
      <c r="AFL224" s="1"/>
      <c r="AFM224" s="1"/>
      <c r="AFN224" s="1"/>
      <c r="AFO224" s="1"/>
      <c r="AFP224" s="1"/>
      <c r="AFQ224" s="1"/>
      <c r="AFR224" s="1"/>
      <c r="AFS224" s="1"/>
      <c r="AFT224" s="1"/>
      <c r="AFU224" s="1"/>
      <c r="AFV224" s="1"/>
      <c r="AFW224" s="1"/>
      <c r="AFX224" s="1"/>
      <c r="AFY224" s="1"/>
      <c r="AFZ224" s="1"/>
      <c r="AGA224" s="1"/>
      <c r="AGB224" s="1"/>
      <c r="AGC224" s="1"/>
      <c r="AGD224" s="1"/>
      <c r="AGE224" s="1"/>
      <c r="AGF224" s="1"/>
      <c r="AGG224" s="1"/>
      <c r="AGH224" s="1"/>
      <c r="AGI224" s="1"/>
      <c r="AGJ224" s="1"/>
      <c r="AGK224" s="1"/>
      <c r="AGL224" s="1"/>
      <c r="AGM224" s="1"/>
      <c r="AGN224" s="1"/>
      <c r="AGO224" s="1"/>
      <c r="AGP224" s="1"/>
      <c r="AGQ224" s="1"/>
      <c r="AGR224" s="1"/>
      <c r="AGS224" s="1"/>
      <c r="AGT224" s="1"/>
      <c r="AGU224" s="1"/>
      <c r="AGV224" s="1"/>
      <c r="AGW224" s="1"/>
      <c r="AGX224" s="1"/>
      <c r="AGY224" s="1"/>
      <c r="AGZ224" s="1"/>
      <c r="AHA224" s="1"/>
      <c r="AHB224" s="1"/>
      <c r="AHC224" s="1"/>
      <c r="AHD224" s="1"/>
      <c r="AHE224" s="1"/>
      <c r="AHF224" s="1"/>
      <c r="AHG224" s="1"/>
      <c r="AHH224" s="1"/>
      <c r="AHI224" s="1"/>
      <c r="AHJ224" s="1"/>
      <c r="AHK224" s="1"/>
      <c r="AHL224" s="1"/>
      <c r="AHM224" s="1"/>
      <c r="AHN224" s="1"/>
      <c r="AHO224" s="1"/>
      <c r="AHP224" s="1"/>
      <c r="AHQ224" s="1"/>
      <c r="AHR224" s="1"/>
      <c r="AHS224" s="1"/>
      <c r="AHT224" s="1"/>
      <c r="AHU224" s="1"/>
      <c r="AHV224" s="1"/>
      <c r="AHW224" s="1"/>
      <c r="AHX224" s="1"/>
      <c r="AHY224" s="1"/>
      <c r="AHZ224" s="1"/>
      <c r="AIA224" s="1"/>
      <c r="AIB224" s="1"/>
      <c r="AIC224" s="1"/>
      <c r="AID224" s="1"/>
      <c r="AIE224" s="1"/>
      <c r="AIF224" s="1"/>
      <c r="AIG224" s="1"/>
      <c r="AIH224" s="1"/>
      <c r="AII224" s="1"/>
      <c r="AIJ224" s="1"/>
      <c r="AIK224" s="1"/>
      <c r="AIL224" s="1"/>
      <c r="AIM224" s="1"/>
      <c r="AIN224" s="1"/>
      <c r="AIO224" s="1"/>
      <c r="AIP224" s="1"/>
      <c r="AIQ224" s="1"/>
      <c r="AIR224" s="1"/>
      <c r="AIS224" s="1"/>
      <c r="AIT224" s="1"/>
      <c r="AIU224" s="1"/>
      <c r="AIV224" s="1"/>
      <c r="AIW224" s="1"/>
      <c r="AIX224" s="1"/>
      <c r="AIY224" s="1"/>
      <c r="AIZ224" s="1"/>
      <c r="AJA224" s="1"/>
      <c r="AJB224" s="1"/>
      <c r="AJC224" s="1"/>
      <c r="AJD224" s="1"/>
      <c r="AJE224" s="1"/>
      <c r="AJF224" s="1"/>
      <c r="AJG224" s="1"/>
      <c r="AJH224" s="1"/>
      <c r="AJI224" s="1"/>
      <c r="AJJ224" s="1"/>
      <c r="AJK224" s="1"/>
      <c r="AJL224" s="1"/>
      <c r="AJM224" s="1"/>
      <c r="AJN224" s="1"/>
      <c r="AJO224" s="1"/>
      <c r="AJP224" s="1"/>
      <c r="AJQ224" s="1"/>
      <c r="AJR224" s="1"/>
      <c r="AJS224" s="1"/>
      <c r="AJT224" s="1"/>
      <c r="AJU224" s="1"/>
      <c r="AJV224" s="1"/>
      <c r="AJW224" s="1"/>
      <c r="AJX224" s="1"/>
      <c r="AJY224" s="1"/>
      <c r="AJZ224" s="1"/>
      <c r="AKA224" s="1"/>
      <c r="AKB224" s="1"/>
      <c r="AKC224" s="1"/>
      <c r="AKD224" s="1"/>
      <c r="AKE224" s="1"/>
      <c r="AKF224" s="1"/>
      <c r="AKG224" s="1"/>
      <c r="AKH224" s="1"/>
      <c r="AKI224" s="1"/>
      <c r="AKJ224" s="1"/>
      <c r="AKK224" s="1"/>
      <c r="AKL224" s="1"/>
      <c r="AKM224" s="1"/>
      <c r="AKN224" s="1"/>
      <c r="AKO224" s="1"/>
      <c r="AKP224" s="1"/>
      <c r="AKQ224" s="1"/>
      <c r="AKR224" s="1"/>
      <c r="AKS224" s="1"/>
      <c r="AKT224" s="1"/>
      <c r="AKU224" s="1"/>
      <c r="AKV224" s="1"/>
      <c r="AKW224" s="1"/>
      <c r="AKX224" s="1"/>
      <c r="AKY224" s="1"/>
      <c r="AKZ224" s="1"/>
      <c r="ALA224" s="1"/>
      <c r="ALB224" s="1"/>
      <c r="ALC224" s="1"/>
      <c r="ALD224" s="1"/>
      <c r="ALE224" s="1"/>
      <c r="ALF224" s="1"/>
      <c r="ALG224" s="1"/>
      <c r="ALH224" s="1"/>
      <c r="ALI224" s="1"/>
      <c r="ALJ224" s="1"/>
      <c r="ALK224" s="1"/>
      <c r="ALL224" s="1"/>
      <c r="ALM224" s="1"/>
      <c r="ALN224" s="1"/>
      <c r="ALO224" s="1"/>
      <c r="ALP224" s="1"/>
      <c r="ALQ224" s="1"/>
      <c r="ALR224" s="1"/>
      <c r="ALS224" s="1"/>
      <c r="ALT224" s="1"/>
      <c r="ALU224" s="1"/>
      <c r="ALV224" s="1"/>
      <c r="ALW224" s="1"/>
      <c r="ALX224" s="1"/>
      <c r="ALY224" s="1"/>
      <c r="ALZ224" s="1"/>
      <c r="AMA224" s="1"/>
      <c r="AMB224" s="1"/>
      <c r="AMC224" s="1"/>
      <c r="AMD224" s="1"/>
      <c r="AME224" s="1"/>
      <c r="AMF224" s="1"/>
      <c r="AMG224" s="1"/>
      <c r="AMH224" s="1"/>
      <c r="AMI224" s="1"/>
      <c r="AMJ224" s="1"/>
      <c r="AMK224" s="1"/>
      <c r="AML224" s="1"/>
      <c r="AMM224" s="1"/>
      <c r="AMN224" s="1"/>
      <c r="AMO224" s="1"/>
      <c r="AMP224" s="1"/>
      <c r="AMQ224" s="1"/>
      <c r="AMR224" s="1"/>
      <c r="AMS224" s="1"/>
      <c r="AMT224" s="1"/>
      <c r="AMU224" s="1"/>
      <c r="AMV224" s="1"/>
      <c r="AMW224" s="1"/>
      <c r="AMX224" s="1"/>
      <c r="AMY224" s="1"/>
      <c r="AMZ224" s="1"/>
      <c r="ANA224" s="1"/>
      <c r="ANB224" s="1"/>
      <c r="ANC224" s="1"/>
      <c r="AND224" s="1"/>
      <c r="ANE224" s="1"/>
      <c r="ANF224" s="1"/>
      <c r="ANG224" s="1"/>
      <c r="ANH224" s="1"/>
      <c r="ANI224" s="1"/>
      <c r="ANJ224" s="1"/>
      <c r="ANK224" s="1"/>
      <c r="ANL224" s="1"/>
      <c r="ANM224" s="1"/>
      <c r="ANN224" s="1"/>
      <c r="ANO224" s="1"/>
      <c r="ANP224" s="1"/>
      <c r="ANQ224" s="1"/>
      <c r="ANR224" s="1"/>
      <c r="ANS224" s="1"/>
      <c r="ANT224" s="1"/>
      <c r="ANU224" s="1"/>
      <c r="ANV224" s="1"/>
      <c r="ANW224" s="1"/>
      <c r="ANX224" s="1"/>
      <c r="ANY224" s="1"/>
      <c r="ANZ224" s="1"/>
      <c r="AOA224" s="1"/>
      <c r="AOB224" s="1"/>
      <c r="AOC224" s="1"/>
      <c r="AOD224" s="1"/>
      <c r="AOE224" s="1"/>
      <c r="AOF224" s="1"/>
      <c r="AOG224" s="1"/>
      <c r="AOH224" s="1"/>
      <c r="AOI224" s="1"/>
      <c r="AOJ224" s="1"/>
      <c r="AOK224" s="1"/>
      <c r="AOL224" s="1"/>
      <c r="AOM224" s="1"/>
      <c r="AON224" s="1"/>
      <c r="AOO224" s="1"/>
      <c r="AOP224" s="1"/>
      <c r="AOQ224" s="1"/>
      <c r="AOR224" s="1"/>
      <c r="AOS224" s="1"/>
      <c r="AOT224" s="1"/>
      <c r="AOU224" s="1"/>
      <c r="AOV224" s="1"/>
      <c r="AOW224" s="1"/>
      <c r="AOX224" s="1"/>
      <c r="AOY224" s="1"/>
      <c r="AOZ224" s="1"/>
      <c r="APA224" s="1"/>
      <c r="APB224" s="1"/>
      <c r="APC224" s="1"/>
      <c r="APD224" s="1"/>
      <c r="APE224" s="1"/>
      <c r="APF224" s="1"/>
      <c r="APG224" s="1"/>
      <c r="APH224" s="1"/>
      <c r="API224" s="1"/>
      <c r="APJ224" s="1"/>
      <c r="APK224" s="1"/>
      <c r="APL224" s="1"/>
      <c r="APM224" s="1"/>
      <c r="APN224" s="1"/>
      <c r="APO224" s="1"/>
      <c r="APP224" s="1"/>
      <c r="APQ224" s="1"/>
      <c r="APR224" s="1"/>
      <c r="APS224" s="1"/>
      <c r="APT224" s="1"/>
      <c r="APU224" s="1"/>
      <c r="APV224" s="1"/>
      <c r="APW224" s="1"/>
      <c r="APX224" s="1"/>
      <c r="APY224" s="1"/>
      <c r="APZ224" s="1"/>
      <c r="AQA224" s="1"/>
      <c r="AQB224" s="1"/>
      <c r="AQC224" s="1"/>
      <c r="AQD224" s="1"/>
      <c r="AQE224" s="1"/>
      <c r="AQF224" s="1"/>
      <c r="AQG224" s="1"/>
      <c r="AQH224" s="1"/>
      <c r="AQI224" s="1"/>
      <c r="AQJ224" s="1"/>
      <c r="AQK224" s="1"/>
      <c r="AQL224" s="1"/>
      <c r="AQM224" s="1"/>
      <c r="AQN224" s="1"/>
      <c r="AQO224" s="1"/>
      <c r="AQP224" s="1"/>
      <c r="AQQ224" s="1"/>
      <c r="AQR224" s="1"/>
      <c r="AQS224" s="1"/>
      <c r="AQT224" s="1"/>
      <c r="AQU224" s="1"/>
      <c r="AQV224" s="1"/>
      <c r="AQW224" s="1"/>
      <c r="AQX224" s="1"/>
      <c r="AQY224" s="1"/>
      <c r="AQZ224" s="1"/>
      <c r="ARA224" s="1"/>
      <c r="ARB224" s="1"/>
      <c r="ARC224" s="1"/>
      <c r="ARD224" s="1"/>
      <c r="ARE224" s="1"/>
      <c r="ARF224" s="1"/>
      <c r="ARG224" s="1"/>
      <c r="ARH224" s="1"/>
      <c r="ARI224" s="1"/>
      <c r="ARJ224" s="1"/>
      <c r="ARK224" s="1"/>
      <c r="ARL224" s="1"/>
      <c r="ARM224" s="1"/>
      <c r="ARN224" s="1"/>
      <c r="ARO224" s="1"/>
      <c r="ARP224" s="1"/>
      <c r="ARQ224" s="1"/>
      <c r="ARR224" s="1"/>
      <c r="ARS224" s="1"/>
      <c r="ART224" s="1"/>
      <c r="ARU224" s="1"/>
      <c r="ARV224" s="1"/>
      <c r="ARW224" s="1"/>
      <c r="ARX224" s="1"/>
      <c r="ARY224" s="1"/>
      <c r="ARZ224" s="1"/>
      <c r="ASA224" s="1"/>
      <c r="ASB224" s="1"/>
      <c r="ASC224" s="1"/>
      <c r="ASD224" s="1"/>
      <c r="ASE224" s="1"/>
      <c r="ASF224" s="1"/>
      <c r="ASG224" s="1"/>
      <c r="ASH224" s="1"/>
      <c r="ASI224" s="1"/>
      <c r="ASJ224" s="1"/>
      <c r="ASK224" s="1"/>
      <c r="ASL224" s="1"/>
      <c r="ASM224" s="1"/>
      <c r="ASN224" s="1"/>
      <c r="ASO224" s="1"/>
      <c r="ASP224" s="1"/>
      <c r="ASQ224" s="1"/>
      <c r="ASR224" s="1"/>
      <c r="ASS224" s="1"/>
      <c r="AST224" s="1"/>
      <c r="ASU224" s="1"/>
      <c r="ASV224" s="1"/>
      <c r="ASW224" s="1"/>
      <c r="ASX224" s="1"/>
      <c r="ASY224" s="1"/>
      <c r="ASZ224" s="1"/>
      <c r="ATA224" s="1"/>
      <c r="ATB224" s="1"/>
      <c r="ATC224" s="1"/>
      <c r="ATD224" s="1"/>
      <c r="ATE224" s="1"/>
      <c r="ATF224" s="1"/>
      <c r="ATG224" s="1"/>
      <c r="ATH224" s="1"/>
      <c r="ATI224" s="1"/>
      <c r="ATJ224" s="1"/>
      <c r="ATK224" s="1"/>
      <c r="ATL224" s="1"/>
      <c r="ATM224" s="1"/>
      <c r="ATN224" s="1"/>
      <c r="ATO224" s="1"/>
      <c r="ATP224" s="1"/>
      <c r="ATQ224" s="1"/>
      <c r="ATR224" s="1"/>
      <c r="ATS224" s="1"/>
      <c r="ATT224" s="1"/>
      <c r="ATU224" s="1"/>
      <c r="ATV224" s="1"/>
      <c r="ATW224" s="1"/>
      <c r="ATX224" s="1"/>
      <c r="ATY224" s="1"/>
      <c r="ATZ224" s="1"/>
      <c r="AUA224" s="1"/>
      <c r="AUB224" s="1"/>
      <c r="AUC224" s="1"/>
      <c r="AUD224" s="1"/>
      <c r="AUE224" s="1"/>
      <c r="AUF224" s="1"/>
      <c r="AUG224" s="1"/>
      <c r="AUH224" s="1"/>
      <c r="AUI224" s="1"/>
      <c r="AUJ224" s="1"/>
      <c r="AUK224" s="1"/>
      <c r="AUL224" s="1"/>
      <c r="AUM224" s="1"/>
      <c r="AUN224" s="1"/>
      <c r="AUO224" s="1"/>
      <c r="AUP224" s="1"/>
      <c r="AUQ224" s="1"/>
      <c r="AUR224" s="1"/>
      <c r="AUS224" s="1"/>
      <c r="AUT224" s="1"/>
      <c r="AUU224" s="1"/>
      <c r="AUV224" s="1"/>
      <c r="AUW224" s="1"/>
      <c r="AUX224" s="1"/>
      <c r="AUY224" s="1"/>
      <c r="AUZ224" s="1"/>
      <c r="AVA224" s="1"/>
      <c r="AVB224" s="1"/>
      <c r="AVC224" s="1"/>
      <c r="AVD224" s="1"/>
      <c r="AVE224" s="1"/>
      <c r="AVF224" s="1"/>
      <c r="AVG224" s="1"/>
      <c r="AVH224" s="1"/>
      <c r="AVI224" s="1"/>
      <c r="AVJ224" s="1"/>
      <c r="AVK224" s="1"/>
      <c r="AVL224" s="1"/>
      <c r="AVM224" s="1"/>
      <c r="AVN224" s="1"/>
      <c r="AVO224" s="1"/>
      <c r="AVP224" s="1"/>
      <c r="AVQ224" s="1"/>
      <c r="AVR224" s="1"/>
      <c r="AVS224" s="1"/>
      <c r="AVT224" s="1"/>
      <c r="AVU224" s="1"/>
      <c r="AVV224" s="1"/>
      <c r="AVW224" s="1"/>
      <c r="AVX224" s="1"/>
      <c r="AVY224" s="1"/>
      <c r="AVZ224" s="1"/>
      <c r="AWA224" s="1"/>
      <c r="AWB224" s="1"/>
      <c r="AWC224" s="1"/>
      <c r="AWD224" s="1"/>
      <c r="AWE224" s="1"/>
      <c r="AWF224" s="1"/>
      <c r="AWG224" s="1"/>
      <c r="AWH224" s="1"/>
      <c r="AWI224" s="1"/>
      <c r="AWJ224" s="1"/>
      <c r="AWK224" s="1"/>
      <c r="AWL224" s="1"/>
      <c r="AWM224" s="1"/>
      <c r="AWN224" s="1"/>
      <c r="AWO224" s="1"/>
      <c r="AWP224" s="1"/>
      <c r="AWQ224" s="1"/>
      <c r="AWR224" s="1"/>
      <c r="AWS224" s="1"/>
      <c r="AWT224" s="1"/>
      <c r="AWU224" s="1"/>
      <c r="AWV224" s="1"/>
      <c r="AWW224" s="1"/>
      <c r="AWX224" s="1"/>
      <c r="AWY224" s="1"/>
      <c r="AWZ224" s="1"/>
      <c r="AXA224" s="1"/>
      <c r="AXB224" s="1"/>
      <c r="AXC224" s="1"/>
      <c r="AXD224" s="1"/>
      <c r="AXE224" s="1"/>
      <c r="AXF224" s="1"/>
      <c r="AXG224" s="1"/>
      <c r="AXH224" s="1"/>
      <c r="AXI224" s="1"/>
      <c r="AXJ224" s="1"/>
      <c r="AXK224" s="1"/>
      <c r="AXL224" s="1"/>
      <c r="AXM224" s="1"/>
      <c r="AXN224" s="1"/>
      <c r="AXO224" s="1"/>
      <c r="AXP224" s="1"/>
      <c r="AXQ224" s="1"/>
      <c r="AXR224" s="1"/>
      <c r="AXS224" s="1"/>
      <c r="AXT224" s="1"/>
      <c r="AXU224" s="1"/>
      <c r="AXV224" s="1"/>
      <c r="AXW224" s="1"/>
      <c r="AXX224" s="1"/>
      <c r="AXY224" s="1"/>
      <c r="AXZ224" s="1"/>
      <c r="AYA224" s="1"/>
      <c r="AYB224" s="1"/>
      <c r="AYC224" s="1"/>
      <c r="AYD224" s="1"/>
      <c r="AYE224" s="1"/>
      <c r="AYF224" s="1"/>
      <c r="AYG224" s="1"/>
      <c r="AYH224" s="1"/>
      <c r="AYI224" s="1"/>
      <c r="AYJ224" s="1"/>
      <c r="AYK224" s="1"/>
      <c r="AYL224" s="1"/>
      <c r="AYM224" s="1"/>
      <c r="AYN224" s="1"/>
      <c r="AYO224" s="1"/>
      <c r="AYP224" s="1"/>
      <c r="AYQ224" s="1"/>
      <c r="AYR224" s="1"/>
      <c r="AYS224" s="1"/>
      <c r="AYT224" s="1"/>
      <c r="AYU224" s="1"/>
      <c r="AYV224" s="1"/>
      <c r="AYW224" s="1"/>
      <c r="AYX224" s="1"/>
      <c r="AYY224" s="1"/>
      <c r="AYZ224" s="1"/>
      <c r="AZA224" s="1"/>
      <c r="AZB224" s="1"/>
      <c r="AZC224" s="1"/>
      <c r="AZD224" s="1"/>
      <c r="AZE224" s="1"/>
      <c r="AZF224" s="1"/>
      <c r="AZG224" s="1"/>
      <c r="AZH224" s="1"/>
      <c r="AZI224" s="1"/>
      <c r="AZJ224" s="1"/>
      <c r="AZK224" s="1"/>
      <c r="AZL224" s="1"/>
      <c r="AZM224" s="1"/>
      <c r="AZN224" s="1"/>
      <c r="AZO224" s="1"/>
      <c r="AZP224" s="1"/>
      <c r="AZQ224" s="1"/>
      <c r="AZR224" s="1"/>
      <c r="AZS224" s="1"/>
      <c r="AZT224" s="1"/>
      <c r="AZU224" s="1"/>
      <c r="AZV224" s="1"/>
      <c r="AZW224" s="1"/>
      <c r="AZX224" s="1"/>
      <c r="AZY224" s="1"/>
      <c r="AZZ224" s="1"/>
      <c r="BAA224" s="1"/>
      <c r="BAB224" s="1"/>
      <c r="BAC224" s="1"/>
      <c r="BAD224" s="1"/>
      <c r="BAE224" s="1"/>
      <c r="BAF224" s="1"/>
      <c r="BAG224" s="1"/>
      <c r="BAH224" s="1"/>
      <c r="BAI224" s="1"/>
      <c r="BAJ224" s="1"/>
      <c r="BAK224" s="1"/>
      <c r="BAL224" s="1"/>
      <c r="BAM224" s="1"/>
      <c r="BAN224" s="1"/>
      <c r="BAO224" s="1"/>
      <c r="BAP224" s="1"/>
      <c r="BAQ224" s="1"/>
      <c r="BAR224" s="1"/>
      <c r="BAS224" s="1"/>
      <c r="BAT224" s="1"/>
      <c r="BAU224" s="1"/>
      <c r="BAV224" s="1"/>
      <c r="BAW224" s="1"/>
      <c r="BAX224" s="1"/>
      <c r="BAY224" s="1"/>
      <c r="BAZ224" s="1"/>
      <c r="BBA224" s="1"/>
      <c r="BBB224" s="1"/>
      <c r="BBC224" s="1"/>
      <c r="BBD224" s="1"/>
      <c r="BBE224" s="1"/>
      <c r="BBF224" s="1"/>
      <c r="BBG224" s="1"/>
      <c r="BBH224" s="1"/>
      <c r="BBI224" s="1"/>
      <c r="BBJ224" s="1"/>
      <c r="BBK224" s="1"/>
      <c r="BBL224" s="1"/>
      <c r="BBM224" s="1"/>
      <c r="BBN224" s="1"/>
      <c r="BBO224" s="1"/>
      <c r="BBP224" s="1"/>
      <c r="BBQ224" s="1"/>
      <c r="BBR224" s="1"/>
      <c r="BBS224" s="1"/>
      <c r="BBT224" s="1"/>
      <c r="BBU224" s="1"/>
      <c r="BBV224" s="1"/>
      <c r="BBW224" s="1"/>
      <c r="BBX224" s="1"/>
      <c r="BBY224" s="1"/>
      <c r="BBZ224" s="1"/>
      <c r="BCA224" s="1"/>
      <c r="BCB224" s="1"/>
      <c r="BCC224" s="1"/>
      <c r="BCD224" s="1"/>
      <c r="BCE224" s="1"/>
      <c r="BCF224" s="1"/>
      <c r="BCG224" s="1"/>
      <c r="BCH224" s="1"/>
      <c r="BCI224" s="1"/>
      <c r="BCJ224" s="1"/>
      <c r="BCK224" s="1"/>
      <c r="BCL224" s="1"/>
      <c r="BCM224" s="1"/>
      <c r="BCN224" s="1"/>
      <c r="BCO224" s="1"/>
      <c r="BCP224" s="1"/>
      <c r="BCQ224" s="1"/>
      <c r="BCR224" s="1"/>
      <c r="BCS224" s="1"/>
      <c r="BCT224" s="1"/>
      <c r="BCU224" s="1"/>
      <c r="BCV224" s="1"/>
      <c r="BCW224" s="1"/>
      <c r="BCX224" s="1"/>
      <c r="BCY224" s="1"/>
      <c r="BCZ224" s="1"/>
      <c r="BDA224" s="1"/>
      <c r="BDB224" s="1"/>
      <c r="BDC224" s="1"/>
      <c r="BDD224" s="1"/>
      <c r="BDE224" s="1"/>
      <c r="BDF224" s="1"/>
      <c r="BDG224" s="1"/>
      <c r="BDH224" s="1"/>
      <c r="BDI224" s="1"/>
      <c r="BDJ224" s="1"/>
      <c r="BDK224" s="1"/>
      <c r="BDL224" s="1"/>
      <c r="BDM224" s="1"/>
      <c r="BDN224" s="1"/>
      <c r="BDO224" s="1"/>
      <c r="BDP224" s="1"/>
      <c r="BDQ224" s="1"/>
      <c r="BDR224" s="1"/>
      <c r="BDS224" s="1"/>
      <c r="BDT224" s="1"/>
      <c r="BDU224" s="1"/>
      <c r="BDV224" s="1"/>
      <c r="BDW224" s="1"/>
      <c r="BDX224" s="1"/>
      <c r="BDY224" s="1"/>
      <c r="BDZ224" s="1"/>
      <c r="BEA224" s="1"/>
      <c r="BEB224" s="1"/>
      <c r="BEC224" s="1"/>
      <c r="BED224" s="1"/>
      <c r="BEE224" s="1"/>
      <c r="BEF224" s="1"/>
      <c r="BEG224" s="1"/>
      <c r="BEH224" s="1"/>
      <c r="BEI224" s="1"/>
      <c r="BEJ224" s="1"/>
      <c r="BEK224" s="1"/>
      <c r="BEL224" s="1"/>
      <c r="BEM224" s="1"/>
      <c r="BEN224" s="1"/>
      <c r="BEO224" s="1"/>
      <c r="BEP224" s="1"/>
      <c r="BEQ224" s="1"/>
      <c r="BER224" s="1"/>
      <c r="BES224" s="1"/>
      <c r="BET224" s="1"/>
      <c r="BEU224" s="1"/>
      <c r="BEV224" s="1"/>
      <c r="BEW224" s="1"/>
      <c r="BEX224" s="1"/>
      <c r="BEY224" s="1"/>
      <c r="BEZ224" s="1"/>
      <c r="BFA224" s="1"/>
      <c r="BFB224" s="1"/>
      <c r="BFC224" s="1"/>
      <c r="BFD224" s="1"/>
      <c r="BFE224" s="1"/>
      <c r="BFF224" s="1"/>
      <c r="BFG224" s="1"/>
      <c r="BFH224" s="1"/>
      <c r="BFI224" s="1"/>
      <c r="BFJ224" s="1"/>
      <c r="BFK224" s="1"/>
      <c r="BFL224" s="1"/>
      <c r="BFM224" s="1"/>
      <c r="BFN224" s="1"/>
      <c r="BFO224" s="1"/>
      <c r="BFP224" s="1"/>
      <c r="BFQ224" s="1"/>
      <c r="BFR224" s="1"/>
      <c r="BFS224" s="1"/>
      <c r="BFT224" s="1"/>
      <c r="BFU224" s="1"/>
      <c r="BFV224" s="1"/>
      <c r="BFW224" s="1"/>
      <c r="BFX224" s="1"/>
      <c r="BFY224" s="1"/>
      <c r="BFZ224" s="1"/>
      <c r="BGA224" s="1"/>
      <c r="BGB224" s="1"/>
      <c r="BGC224" s="1"/>
      <c r="BGD224" s="1"/>
      <c r="BGE224" s="1"/>
      <c r="BGF224" s="1"/>
      <c r="BGG224" s="1"/>
      <c r="BGH224" s="1"/>
      <c r="BGI224" s="1"/>
      <c r="BGJ224" s="1"/>
      <c r="BGK224" s="1"/>
      <c r="BGL224" s="1"/>
      <c r="BGM224" s="1"/>
      <c r="BGN224" s="1"/>
      <c r="BGO224" s="1"/>
      <c r="BGP224" s="1"/>
      <c r="BGQ224" s="1"/>
      <c r="BGR224" s="1"/>
      <c r="BGS224" s="1"/>
      <c r="BGT224" s="1"/>
      <c r="BGU224" s="1"/>
      <c r="BGV224" s="1"/>
      <c r="BGW224" s="1"/>
      <c r="BGX224" s="1"/>
      <c r="BGY224" s="1"/>
      <c r="BGZ224" s="1"/>
      <c r="BHA224" s="1"/>
      <c r="BHB224" s="1"/>
      <c r="BHC224" s="1"/>
      <c r="BHD224" s="1"/>
      <c r="BHE224" s="1"/>
      <c r="BHF224" s="1"/>
      <c r="BHG224" s="1"/>
      <c r="BHH224" s="1"/>
      <c r="BHI224" s="1"/>
      <c r="BHJ224" s="1"/>
      <c r="BHK224" s="1"/>
      <c r="BHL224" s="1"/>
      <c r="BHM224" s="1"/>
      <c r="BHN224" s="1"/>
      <c r="BHO224" s="1"/>
      <c r="BHP224" s="1"/>
      <c r="BHQ224" s="1"/>
      <c r="BHR224" s="1"/>
      <c r="BHS224" s="1"/>
      <c r="BHT224" s="1"/>
      <c r="BHU224" s="1"/>
      <c r="BHV224" s="1"/>
      <c r="BHW224" s="1"/>
      <c r="BHX224" s="1"/>
      <c r="BHY224" s="1"/>
      <c r="BHZ224" s="1"/>
      <c r="BIA224" s="1"/>
      <c r="BIB224" s="1"/>
      <c r="BIC224" s="1"/>
      <c r="BID224" s="1"/>
      <c r="BIE224" s="1"/>
      <c r="BIF224" s="1"/>
      <c r="BIG224" s="1"/>
      <c r="BIH224" s="1"/>
      <c r="BII224" s="1"/>
      <c r="BIJ224" s="1"/>
      <c r="BIK224" s="1"/>
      <c r="BIL224" s="1"/>
      <c r="BIM224" s="1"/>
      <c r="BIN224" s="1"/>
      <c r="BIO224" s="1"/>
      <c r="BIP224" s="1"/>
      <c r="BIQ224" s="1"/>
      <c r="BIR224" s="1"/>
      <c r="BIS224" s="1"/>
      <c r="BIT224" s="1"/>
      <c r="BIU224" s="1"/>
      <c r="BIV224" s="1"/>
      <c r="BIW224" s="1"/>
      <c r="BIX224" s="1"/>
      <c r="BIY224" s="1"/>
      <c r="BIZ224" s="1"/>
      <c r="BJA224" s="1"/>
      <c r="BJB224" s="1"/>
      <c r="BJC224" s="1"/>
      <c r="BJD224" s="1"/>
      <c r="BJE224" s="1"/>
      <c r="BJF224" s="1"/>
      <c r="BJG224" s="1"/>
      <c r="BJH224" s="1"/>
      <c r="BJI224" s="1"/>
      <c r="BJJ224" s="1"/>
      <c r="BJK224" s="1"/>
      <c r="BJL224" s="1"/>
      <c r="BJM224" s="1"/>
      <c r="BJN224" s="1"/>
      <c r="BJO224" s="1"/>
      <c r="BJP224" s="1"/>
      <c r="BJQ224" s="1"/>
      <c r="BJR224" s="1"/>
      <c r="BJS224" s="1"/>
      <c r="BJT224" s="1"/>
      <c r="BJU224" s="1"/>
      <c r="BJV224" s="1"/>
      <c r="BJW224" s="1"/>
      <c r="BJX224" s="1"/>
      <c r="BJY224" s="1"/>
      <c r="BJZ224" s="1"/>
      <c r="BKA224" s="1"/>
      <c r="BKB224" s="1"/>
      <c r="BKC224" s="1"/>
      <c r="BKD224" s="1"/>
      <c r="BKE224" s="1"/>
      <c r="BKF224" s="1"/>
      <c r="BKG224" s="1"/>
      <c r="BKH224" s="1"/>
      <c r="BKI224" s="1"/>
      <c r="BKJ224" s="1"/>
      <c r="BKK224" s="1"/>
      <c r="BKL224" s="1"/>
      <c r="BKM224" s="1"/>
      <c r="BKN224" s="1"/>
      <c r="BKO224" s="1"/>
      <c r="BKP224" s="1"/>
      <c r="BKQ224" s="1"/>
      <c r="BKR224" s="1"/>
      <c r="BKS224" s="1"/>
      <c r="BKT224" s="1"/>
      <c r="BKU224" s="1"/>
      <c r="BKV224" s="1"/>
      <c r="BKW224" s="1"/>
      <c r="BKX224" s="1"/>
      <c r="BKY224" s="1"/>
      <c r="BKZ224" s="1"/>
      <c r="BLA224" s="1"/>
      <c r="BLB224" s="1"/>
      <c r="BLC224" s="1"/>
      <c r="BLD224" s="1"/>
      <c r="BLE224" s="1"/>
      <c r="BLF224" s="1"/>
      <c r="BLG224" s="1"/>
      <c r="BLH224" s="1"/>
      <c r="BLI224" s="1"/>
      <c r="BLJ224" s="1"/>
      <c r="BLK224" s="1"/>
      <c r="BLL224" s="1"/>
      <c r="BLM224" s="1"/>
      <c r="BLN224" s="1"/>
      <c r="BLO224" s="1"/>
      <c r="BLP224" s="1"/>
      <c r="BLQ224" s="1"/>
      <c r="BLR224" s="1"/>
      <c r="BLS224" s="1"/>
      <c r="BLT224" s="1"/>
      <c r="BLU224" s="1"/>
      <c r="BLV224" s="1"/>
      <c r="BLW224" s="1"/>
      <c r="BLX224" s="1"/>
      <c r="BLY224" s="1"/>
      <c r="BLZ224" s="1"/>
      <c r="BMA224" s="1"/>
      <c r="BMB224" s="1"/>
      <c r="BMC224" s="1"/>
      <c r="BMD224" s="1"/>
      <c r="BME224" s="1"/>
      <c r="BMF224" s="1"/>
      <c r="BMG224" s="1"/>
      <c r="BMH224" s="1"/>
      <c r="BMI224" s="1"/>
      <c r="BMJ224" s="1"/>
      <c r="BMK224" s="1"/>
      <c r="BML224" s="1"/>
      <c r="BMM224" s="1"/>
      <c r="BMN224" s="1"/>
      <c r="BMO224" s="1"/>
      <c r="BMP224" s="1"/>
      <c r="BMQ224" s="1"/>
      <c r="BMR224" s="1"/>
      <c r="BMS224" s="1"/>
      <c r="BMT224" s="1"/>
      <c r="BMU224" s="1"/>
      <c r="BMV224" s="1"/>
      <c r="BMW224" s="1"/>
      <c r="BMX224" s="1"/>
      <c r="BMY224" s="1"/>
      <c r="BMZ224" s="1"/>
      <c r="BNA224" s="1"/>
      <c r="BNB224" s="1"/>
      <c r="BNC224" s="1"/>
      <c r="BND224" s="1"/>
      <c r="BNE224" s="1"/>
      <c r="BNF224" s="1"/>
      <c r="BNG224" s="1"/>
      <c r="BNH224" s="1"/>
      <c r="BNI224" s="1"/>
      <c r="BNJ224" s="1"/>
      <c r="BNK224" s="1"/>
      <c r="BNL224" s="1"/>
      <c r="BNM224" s="1"/>
      <c r="BNN224" s="1"/>
      <c r="BNO224" s="1"/>
      <c r="BNP224" s="1"/>
      <c r="BNQ224" s="1"/>
      <c r="BNR224" s="1"/>
      <c r="BNS224" s="1"/>
      <c r="BNT224" s="1"/>
      <c r="BNU224" s="1"/>
      <c r="BNV224" s="1"/>
      <c r="BNW224" s="1"/>
      <c r="BNX224" s="1"/>
      <c r="BNY224" s="1"/>
      <c r="BNZ224" s="1"/>
      <c r="BOA224" s="1"/>
      <c r="BOB224" s="1"/>
      <c r="BOC224" s="1"/>
      <c r="BOD224" s="1"/>
      <c r="BOE224" s="1"/>
      <c r="BOF224" s="1"/>
      <c r="BOG224" s="1"/>
      <c r="BOH224" s="1"/>
      <c r="BOI224" s="1"/>
      <c r="BOJ224" s="1"/>
      <c r="BOK224" s="1"/>
      <c r="BOL224" s="1"/>
      <c r="BOM224" s="1"/>
      <c r="BON224" s="1"/>
      <c r="BOO224" s="1"/>
      <c r="BOP224" s="1"/>
      <c r="BOQ224" s="1"/>
      <c r="BOR224" s="1"/>
      <c r="BOS224" s="1"/>
      <c r="BOT224" s="1"/>
      <c r="BOU224" s="1"/>
      <c r="BOV224" s="1"/>
      <c r="BOW224" s="1"/>
      <c r="BOX224" s="1"/>
      <c r="BOY224" s="1"/>
      <c r="BOZ224" s="1"/>
      <c r="BPA224" s="1"/>
      <c r="BPB224" s="1"/>
      <c r="BPC224" s="1"/>
      <c r="BPD224" s="1"/>
      <c r="BPE224" s="1"/>
      <c r="BPF224" s="1"/>
      <c r="BPG224" s="1"/>
      <c r="BPH224" s="1"/>
      <c r="BPI224" s="1"/>
      <c r="BPJ224" s="1"/>
      <c r="BPK224" s="1"/>
      <c r="BPL224" s="1"/>
      <c r="BPM224" s="1"/>
      <c r="BPN224" s="1"/>
      <c r="BPO224" s="1"/>
      <c r="BPP224" s="1"/>
      <c r="BPQ224" s="1"/>
      <c r="BPR224" s="1"/>
      <c r="BPS224" s="1"/>
      <c r="BPT224" s="1"/>
      <c r="BPU224" s="1"/>
      <c r="BPV224" s="1"/>
      <c r="BPW224" s="1"/>
      <c r="BPX224" s="1"/>
      <c r="BPY224" s="1"/>
      <c r="BPZ224" s="1"/>
      <c r="BQA224" s="1"/>
      <c r="BQB224" s="1"/>
      <c r="BQC224" s="1"/>
      <c r="BQD224" s="1"/>
      <c r="BQE224" s="1"/>
      <c r="BQF224" s="1"/>
      <c r="BQG224" s="1"/>
      <c r="BQH224" s="1"/>
      <c r="BQI224" s="1"/>
      <c r="BQJ224" s="1"/>
      <c r="BQK224" s="1"/>
      <c r="BQL224" s="1"/>
      <c r="BQM224" s="1"/>
      <c r="BQN224" s="1"/>
      <c r="BQO224" s="1"/>
      <c r="BQP224" s="1"/>
      <c r="BQQ224" s="1"/>
      <c r="BQR224" s="1"/>
      <c r="BQS224" s="1"/>
      <c r="BQT224" s="1"/>
      <c r="BQU224" s="1"/>
      <c r="BQV224" s="1"/>
      <c r="BQW224" s="1"/>
      <c r="BQX224" s="1"/>
      <c r="BQY224" s="1"/>
      <c r="BQZ224" s="1"/>
      <c r="BRA224" s="1"/>
      <c r="BRB224" s="1"/>
      <c r="BRC224" s="1"/>
      <c r="BRD224" s="1"/>
      <c r="BRE224" s="1"/>
      <c r="BRF224" s="1"/>
      <c r="BRG224" s="1"/>
      <c r="BRH224" s="1"/>
      <c r="BRI224" s="1"/>
      <c r="BRJ224" s="1"/>
      <c r="BRK224" s="1"/>
      <c r="BRL224" s="1"/>
      <c r="BRM224" s="1"/>
      <c r="BRN224" s="1"/>
      <c r="BRO224" s="1"/>
      <c r="BRP224" s="1"/>
      <c r="BRQ224" s="1"/>
      <c r="BRR224" s="1"/>
      <c r="BRS224" s="1"/>
      <c r="BRT224" s="1"/>
      <c r="BRU224" s="1"/>
      <c r="BRV224" s="1"/>
      <c r="BRW224" s="1"/>
      <c r="BRX224" s="1"/>
      <c r="BRY224" s="1"/>
      <c r="BRZ224" s="1"/>
      <c r="BSA224" s="1"/>
      <c r="BSB224" s="1"/>
      <c r="BSC224" s="1"/>
      <c r="BSD224" s="1"/>
      <c r="BSE224" s="1"/>
      <c r="BSF224" s="1"/>
      <c r="BSG224" s="1"/>
      <c r="BSH224" s="1"/>
      <c r="BSI224" s="1"/>
      <c r="BSJ224" s="1"/>
      <c r="BSK224" s="1"/>
      <c r="BSL224" s="1"/>
      <c r="BSM224" s="1"/>
      <c r="BSN224" s="1"/>
      <c r="BSO224" s="1"/>
      <c r="BSP224" s="1"/>
      <c r="BSQ224" s="1"/>
      <c r="BSR224" s="1"/>
      <c r="BSS224" s="1"/>
      <c r="BST224" s="1"/>
      <c r="BSU224" s="1"/>
      <c r="BSV224" s="1"/>
      <c r="BSW224" s="1"/>
      <c r="BSX224" s="1"/>
      <c r="BSY224" s="1"/>
      <c r="BSZ224" s="1"/>
      <c r="BTA224" s="1"/>
      <c r="BTB224" s="1"/>
      <c r="BTC224" s="1"/>
      <c r="BTD224" s="1"/>
      <c r="BTE224" s="1"/>
      <c r="BTF224" s="1"/>
      <c r="BTG224" s="1"/>
      <c r="BTH224" s="1"/>
      <c r="BTI224" s="1"/>
      <c r="BTJ224" s="1"/>
      <c r="BTK224" s="1"/>
      <c r="BTL224" s="1"/>
      <c r="BTM224" s="1"/>
      <c r="BTN224" s="1"/>
      <c r="BTO224" s="1"/>
      <c r="BTP224" s="1"/>
      <c r="BTQ224" s="1"/>
      <c r="BTR224" s="1"/>
      <c r="BTS224" s="1"/>
      <c r="BTT224" s="1"/>
      <c r="BTU224" s="1"/>
      <c r="BTV224" s="1"/>
      <c r="BTW224" s="1"/>
      <c r="BTX224" s="1"/>
      <c r="BTY224" s="1"/>
      <c r="BTZ224" s="1"/>
      <c r="BUA224" s="1"/>
      <c r="BUB224" s="1"/>
      <c r="BUC224" s="1"/>
      <c r="BUD224" s="1"/>
      <c r="BUE224" s="1"/>
      <c r="BUF224" s="1"/>
      <c r="BUG224" s="1"/>
      <c r="BUH224" s="1"/>
      <c r="BUI224" s="1"/>
      <c r="BUJ224" s="1"/>
      <c r="BUK224" s="1"/>
      <c r="BUL224" s="1"/>
      <c r="BUM224" s="1"/>
      <c r="BUN224" s="1"/>
      <c r="BUO224" s="1"/>
      <c r="BUP224" s="1"/>
      <c r="BUQ224" s="1"/>
      <c r="BUR224" s="1"/>
      <c r="BUS224" s="1"/>
      <c r="BUT224" s="1"/>
      <c r="BUU224" s="1"/>
      <c r="BUV224" s="1"/>
      <c r="BUW224" s="1"/>
      <c r="BUX224" s="1"/>
      <c r="BUY224" s="1"/>
      <c r="BUZ224" s="1"/>
      <c r="BVA224" s="1"/>
      <c r="BVB224" s="1"/>
      <c r="BVC224" s="1"/>
      <c r="BVD224" s="1"/>
      <c r="BVE224" s="1"/>
      <c r="BVF224" s="1"/>
      <c r="BVG224" s="1"/>
      <c r="BVH224" s="1"/>
      <c r="BVI224" s="1"/>
      <c r="BVJ224" s="1"/>
      <c r="BVK224" s="1"/>
      <c r="BVL224" s="1"/>
      <c r="BVM224" s="1"/>
      <c r="BVN224" s="1"/>
      <c r="BVO224" s="1"/>
      <c r="BVP224" s="1"/>
      <c r="BVQ224" s="1"/>
      <c r="BVR224" s="1"/>
      <c r="BVS224" s="1"/>
      <c r="BVT224" s="1"/>
      <c r="BVU224" s="1"/>
      <c r="BVV224" s="1"/>
      <c r="BVW224" s="1"/>
      <c r="BVX224" s="1"/>
      <c r="BVY224" s="1"/>
      <c r="BVZ224" s="1"/>
      <c r="BWA224" s="1"/>
      <c r="BWB224" s="1"/>
      <c r="BWC224" s="1"/>
      <c r="BWD224" s="1"/>
      <c r="BWE224" s="1"/>
      <c r="BWF224" s="1"/>
      <c r="BWG224" s="1"/>
      <c r="BWH224" s="1"/>
      <c r="BWI224" s="1"/>
      <c r="BWJ224" s="1"/>
      <c r="BWK224" s="1"/>
      <c r="BWL224" s="1"/>
      <c r="BWM224" s="1"/>
      <c r="BWN224" s="1"/>
      <c r="BWO224" s="1"/>
      <c r="BWP224" s="1"/>
      <c r="BWQ224" s="1"/>
      <c r="BWR224" s="1"/>
      <c r="BWS224" s="1"/>
      <c r="BWT224" s="1"/>
      <c r="BWU224" s="1"/>
      <c r="BWV224" s="1"/>
      <c r="BWW224" s="1"/>
      <c r="BWX224" s="1"/>
      <c r="BWY224" s="1"/>
      <c r="BWZ224" s="1"/>
      <c r="BXA224" s="1"/>
      <c r="BXB224" s="1"/>
      <c r="BXC224" s="1"/>
      <c r="BXD224" s="1"/>
      <c r="BXE224" s="1"/>
      <c r="BXF224" s="1"/>
      <c r="BXG224" s="1"/>
      <c r="BXH224" s="1"/>
      <c r="BXI224" s="1"/>
      <c r="BXJ224" s="1"/>
      <c r="BXK224" s="1"/>
      <c r="BXL224" s="1"/>
      <c r="BXM224" s="1"/>
      <c r="BXN224" s="1"/>
      <c r="BXO224" s="1"/>
      <c r="BXP224" s="1"/>
      <c r="BXQ224" s="1"/>
      <c r="BXR224" s="1"/>
      <c r="BXS224" s="1"/>
      <c r="BXT224" s="1"/>
      <c r="BXU224" s="1"/>
      <c r="BXV224" s="1"/>
      <c r="BXW224" s="1"/>
      <c r="BXX224" s="1"/>
      <c r="BXY224" s="1"/>
      <c r="BXZ224" s="1"/>
      <c r="BYA224" s="1"/>
      <c r="BYB224" s="1"/>
      <c r="BYC224" s="1"/>
      <c r="BYD224" s="1"/>
      <c r="BYE224" s="1"/>
      <c r="BYF224" s="1"/>
      <c r="BYG224" s="1"/>
      <c r="BYH224" s="1"/>
      <c r="BYI224" s="1"/>
      <c r="BYJ224" s="1"/>
      <c r="BYK224" s="1"/>
      <c r="BYL224" s="1"/>
      <c r="BYM224" s="1"/>
      <c r="BYN224" s="1"/>
      <c r="BYO224" s="1"/>
      <c r="BYP224" s="1"/>
      <c r="BYQ224" s="1"/>
      <c r="BYR224" s="1"/>
      <c r="BYS224" s="1"/>
      <c r="BYT224" s="1"/>
      <c r="BYU224" s="1"/>
      <c r="BYV224" s="1"/>
      <c r="BYW224" s="1"/>
      <c r="BYX224" s="1"/>
      <c r="BYY224" s="1"/>
      <c r="BYZ224" s="1"/>
      <c r="BZA224" s="1"/>
      <c r="BZB224" s="1"/>
      <c r="BZC224" s="1"/>
      <c r="BZD224" s="1"/>
      <c r="BZE224" s="1"/>
      <c r="BZF224" s="1"/>
      <c r="BZG224" s="1"/>
      <c r="BZH224" s="1"/>
      <c r="BZI224" s="1"/>
      <c r="BZJ224" s="1"/>
      <c r="BZK224" s="1"/>
      <c r="BZL224" s="1"/>
      <c r="BZM224" s="1"/>
      <c r="BZN224" s="1"/>
      <c r="BZO224" s="1"/>
      <c r="BZP224" s="1"/>
      <c r="BZQ224" s="1"/>
      <c r="BZR224" s="1"/>
      <c r="BZS224" s="1"/>
      <c r="BZT224" s="1"/>
      <c r="BZU224" s="1"/>
      <c r="BZV224" s="1"/>
      <c r="BZW224" s="1"/>
      <c r="BZX224" s="1"/>
      <c r="BZY224" s="1"/>
      <c r="BZZ224" s="1"/>
      <c r="CAA224" s="1"/>
      <c r="CAB224" s="1"/>
      <c r="CAC224" s="1"/>
      <c r="CAD224" s="1"/>
      <c r="CAE224" s="1"/>
      <c r="CAF224" s="1"/>
      <c r="CAG224" s="1"/>
      <c r="CAH224" s="1"/>
      <c r="CAI224" s="1"/>
      <c r="CAJ224" s="1"/>
      <c r="CAK224" s="1"/>
      <c r="CAL224" s="1"/>
      <c r="CAM224" s="1"/>
      <c r="CAN224" s="1"/>
      <c r="CAO224" s="1"/>
      <c r="CAP224" s="1"/>
      <c r="CAQ224" s="1"/>
      <c r="CAR224" s="1"/>
      <c r="CAS224" s="1"/>
      <c r="CAT224" s="1"/>
      <c r="CAU224" s="1"/>
      <c r="CAV224" s="1"/>
      <c r="CAW224" s="1"/>
      <c r="CAX224" s="1"/>
      <c r="CAY224" s="1"/>
      <c r="CAZ224" s="1"/>
      <c r="CBA224" s="1"/>
      <c r="CBB224" s="1"/>
      <c r="CBC224" s="1"/>
      <c r="CBD224" s="1"/>
      <c r="CBE224" s="1"/>
      <c r="CBF224" s="1"/>
      <c r="CBG224" s="1"/>
      <c r="CBH224" s="1"/>
      <c r="CBI224" s="1"/>
      <c r="CBJ224" s="1"/>
      <c r="CBK224" s="1"/>
      <c r="CBL224" s="1"/>
      <c r="CBM224" s="1"/>
      <c r="CBN224" s="1"/>
      <c r="CBO224" s="1"/>
      <c r="CBP224" s="1"/>
      <c r="CBQ224" s="1"/>
      <c r="CBR224" s="1"/>
      <c r="CBS224" s="1"/>
      <c r="CBT224" s="1"/>
      <c r="CBU224" s="1"/>
      <c r="CBV224" s="1"/>
      <c r="CBW224" s="1"/>
      <c r="CBX224" s="1"/>
      <c r="CBY224" s="1"/>
      <c r="CBZ224" s="1"/>
      <c r="CCA224" s="1"/>
      <c r="CCB224" s="1"/>
      <c r="CCC224" s="1"/>
      <c r="CCD224" s="1"/>
      <c r="CCE224" s="1"/>
      <c r="CCF224" s="1"/>
      <c r="CCG224" s="1"/>
      <c r="CCH224" s="1"/>
      <c r="CCI224" s="1"/>
      <c r="CCJ224" s="1"/>
      <c r="CCK224" s="1"/>
      <c r="CCL224" s="1"/>
      <c r="CCM224" s="1"/>
      <c r="CCN224" s="1"/>
      <c r="CCO224" s="1"/>
      <c r="CCP224" s="1"/>
      <c r="CCQ224" s="1"/>
      <c r="CCR224" s="1"/>
      <c r="CCS224" s="1"/>
      <c r="CCT224" s="1"/>
      <c r="CCU224" s="1"/>
      <c r="CCV224" s="1"/>
      <c r="CCW224" s="1"/>
      <c r="CCX224" s="1"/>
      <c r="CCY224" s="1"/>
      <c r="CCZ224" s="1"/>
      <c r="CDA224" s="1"/>
      <c r="CDB224" s="1"/>
      <c r="CDC224" s="1"/>
      <c r="CDD224" s="1"/>
      <c r="CDE224" s="1"/>
      <c r="CDF224" s="1"/>
      <c r="CDG224" s="1"/>
      <c r="CDH224" s="1"/>
      <c r="CDI224" s="1"/>
      <c r="CDJ224" s="1"/>
      <c r="CDK224" s="1"/>
      <c r="CDL224" s="1"/>
      <c r="CDM224" s="1"/>
      <c r="CDN224" s="1"/>
      <c r="CDO224" s="1"/>
      <c r="CDP224" s="1"/>
      <c r="CDQ224" s="1"/>
      <c r="CDR224" s="1"/>
      <c r="CDS224" s="1"/>
      <c r="CDT224" s="1"/>
      <c r="CDU224" s="1"/>
      <c r="CDV224" s="1"/>
      <c r="CDW224" s="1"/>
      <c r="CDX224" s="1"/>
      <c r="CDY224" s="1"/>
      <c r="CDZ224" s="1"/>
      <c r="CEA224" s="1"/>
      <c r="CEB224" s="1"/>
      <c r="CEC224" s="1"/>
      <c r="CED224" s="1"/>
      <c r="CEE224" s="1"/>
      <c r="CEF224" s="1"/>
      <c r="CEG224" s="1"/>
      <c r="CEH224" s="1"/>
      <c r="CEI224" s="1"/>
      <c r="CEJ224" s="1"/>
      <c r="CEK224" s="1"/>
      <c r="CEL224" s="1"/>
      <c r="CEM224" s="1"/>
      <c r="CEN224" s="1"/>
      <c r="CEO224" s="1"/>
      <c r="CEP224" s="1"/>
      <c r="CEQ224" s="1"/>
      <c r="CER224" s="1"/>
      <c r="CES224" s="1"/>
      <c r="CET224" s="1"/>
      <c r="CEU224" s="1"/>
      <c r="CEV224" s="1"/>
      <c r="CEW224" s="1"/>
      <c r="CEX224" s="1"/>
      <c r="CEY224" s="1"/>
      <c r="CEZ224" s="1"/>
      <c r="CFA224" s="1"/>
      <c r="CFB224" s="1"/>
      <c r="CFC224" s="1"/>
      <c r="CFD224" s="1"/>
      <c r="CFE224" s="1"/>
      <c r="CFF224" s="1"/>
      <c r="CFG224" s="1"/>
      <c r="CFH224" s="1"/>
      <c r="CFI224" s="1"/>
      <c r="CFJ224" s="1"/>
      <c r="CFK224" s="1"/>
      <c r="CFL224" s="1"/>
      <c r="CFM224" s="1"/>
      <c r="CFN224" s="1"/>
      <c r="CFO224" s="1"/>
      <c r="CFP224" s="1"/>
      <c r="CFQ224" s="1"/>
      <c r="CFR224" s="1"/>
      <c r="CFS224" s="1"/>
      <c r="CFT224" s="1"/>
      <c r="CFU224" s="1"/>
      <c r="CFV224" s="1"/>
      <c r="CFW224" s="1"/>
      <c r="CFX224" s="1"/>
      <c r="CFY224" s="1"/>
      <c r="CFZ224" s="1"/>
      <c r="CGA224" s="1"/>
      <c r="CGB224" s="1"/>
      <c r="CGC224" s="1"/>
      <c r="CGD224" s="1"/>
      <c r="CGE224" s="1"/>
      <c r="CGF224" s="1"/>
      <c r="CGG224" s="1"/>
      <c r="CGH224" s="1"/>
      <c r="CGI224" s="1"/>
      <c r="CGJ224" s="1"/>
      <c r="CGK224" s="1"/>
      <c r="CGL224" s="1"/>
      <c r="CGM224" s="1"/>
      <c r="CGN224" s="1"/>
      <c r="CGO224" s="1"/>
      <c r="CGP224" s="1"/>
      <c r="CGQ224" s="1"/>
      <c r="CGR224" s="1"/>
      <c r="CGS224" s="1"/>
      <c r="CGT224" s="1"/>
      <c r="CGU224" s="1"/>
      <c r="CGV224" s="1"/>
      <c r="CGW224" s="1"/>
      <c r="CGX224" s="1"/>
      <c r="CGY224" s="1"/>
      <c r="CGZ224" s="1"/>
      <c r="CHA224" s="1"/>
      <c r="CHB224" s="1"/>
      <c r="CHC224" s="1"/>
      <c r="CHD224" s="1"/>
      <c r="CHE224" s="1"/>
      <c r="CHF224" s="1"/>
      <c r="CHG224" s="1"/>
      <c r="CHH224" s="1"/>
      <c r="CHI224" s="1"/>
      <c r="CHJ224" s="1"/>
      <c r="CHK224" s="1"/>
      <c r="CHL224" s="1"/>
      <c r="CHM224" s="1"/>
      <c r="CHN224" s="1"/>
      <c r="CHO224" s="1"/>
      <c r="CHP224" s="1"/>
      <c r="CHQ224" s="1"/>
      <c r="CHR224" s="1"/>
      <c r="CHS224" s="1"/>
      <c r="CHT224" s="1"/>
      <c r="CHU224" s="1"/>
      <c r="CHV224" s="1"/>
      <c r="CHW224" s="1"/>
      <c r="CHX224" s="1"/>
      <c r="CHY224" s="1"/>
      <c r="CHZ224" s="1"/>
      <c r="CIA224" s="1"/>
      <c r="CIB224" s="1"/>
      <c r="CIC224" s="1"/>
      <c r="CID224" s="1"/>
      <c r="CIE224" s="1"/>
      <c r="CIF224" s="1"/>
      <c r="CIG224" s="1"/>
      <c r="CIH224" s="1"/>
      <c r="CII224" s="1"/>
      <c r="CIJ224" s="1"/>
      <c r="CIK224" s="1"/>
      <c r="CIL224" s="1"/>
      <c r="CIM224" s="1"/>
      <c r="CIN224" s="1"/>
      <c r="CIO224" s="1"/>
      <c r="CIP224" s="1"/>
      <c r="CIQ224" s="1"/>
      <c r="CIR224" s="1"/>
      <c r="CIS224" s="1"/>
      <c r="CIT224" s="1"/>
      <c r="CIU224" s="1"/>
      <c r="CIV224" s="1"/>
      <c r="CIW224" s="1"/>
      <c r="CIX224" s="1"/>
      <c r="CIY224" s="1"/>
      <c r="CIZ224" s="1"/>
      <c r="CJA224" s="1"/>
      <c r="CJB224" s="1"/>
      <c r="CJC224" s="1"/>
      <c r="CJD224" s="1"/>
      <c r="CJE224" s="1"/>
      <c r="CJF224" s="1"/>
      <c r="CJG224" s="1"/>
      <c r="CJH224" s="1"/>
      <c r="CJI224" s="1"/>
      <c r="CJJ224" s="1"/>
      <c r="CJK224" s="1"/>
      <c r="CJL224" s="1"/>
      <c r="CJM224" s="1"/>
      <c r="CJN224" s="1"/>
      <c r="CJO224" s="1"/>
      <c r="CJP224" s="1"/>
      <c r="CJQ224" s="1"/>
      <c r="CJR224" s="1"/>
      <c r="CJS224" s="1"/>
      <c r="CJT224" s="1"/>
      <c r="CJU224" s="1"/>
      <c r="CJV224" s="1"/>
      <c r="CJW224" s="1"/>
      <c r="CJX224" s="1"/>
      <c r="CJY224" s="1"/>
      <c r="CJZ224" s="1"/>
      <c r="CKA224" s="1"/>
      <c r="CKB224" s="1"/>
      <c r="CKC224" s="1"/>
      <c r="CKD224" s="1"/>
      <c r="CKE224" s="1"/>
      <c r="CKF224" s="1"/>
      <c r="CKG224" s="1"/>
      <c r="CKH224" s="1"/>
      <c r="CKI224" s="1"/>
      <c r="CKJ224" s="1"/>
      <c r="CKK224" s="1"/>
      <c r="CKL224" s="1"/>
      <c r="CKM224" s="1"/>
      <c r="CKN224" s="1"/>
      <c r="CKO224" s="1"/>
      <c r="CKP224" s="1"/>
      <c r="CKQ224" s="1"/>
      <c r="CKR224" s="1"/>
      <c r="CKS224" s="1"/>
      <c r="CKT224" s="1"/>
      <c r="CKU224" s="1"/>
      <c r="CKV224" s="1"/>
      <c r="CKW224" s="1"/>
      <c r="CKX224" s="1"/>
      <c r="CKY224" s="1"/>
      <c r="CKZ224" s="1"/>
      <c r="CLA224" s="1"/>
      <c r="CLB224" s="1"/>
      <c r="CLC224" s="1"/>
      <c r="CLD224" s="1"/>
      <c r="CLE224" s="1"/>
      <c r="CLF224" s="1"/>
      <c r="CLG224" s="1"/>
      <c r="CLH224" s="1"/>
      <c r="CLI224" s="1"/>
      <c r="CLJ224" s="1"/>
      <c r="CLK224" s="1"/>
      <c r="CLL224" s="1"/>
      <c r="CLM224" s="1"/>
      <c r="CLN224" s="1"/>
      <c r="CLO224" s="1"/>
      <c r="CLP224" s="1"/>
      <c r="CLQ224" s="1"/>
      <c r="CLR224" s="1"/>
      <c r="CLS224" s="1"/>
      <c r="CLT224" s="1"/>
      <c r="CLU224" s="1"/>
      <c r="CLV224" s="1"/>
      <c r="CLW224" s="1"/>
      <c r="CLX224" s="1"/>
      <c r="CLY224" s="1"/>
      <c r="CLZ224" s="1"/>
      <c r="CMA224" s="1"/>
      <c r="CMB224" s="1"/>
      <c r="CMC224" s="1"/>
      <c r="CMD224" s="1"/>
      <c r="CME224" s="1"/>
      <c r="CMF224" s="1"/>
      <c r="CMG224" s="1"/>
      <c r="CMH224" s="1"/>
      <c r="CMI224" s="1"/>
      <c r="CMJ224" s="1"/>
      <c r="CMK224" s="1"/>
      <c r="CML224" s="1"/>
      <c r="CMM224" s="1"/>
      <c r="CMN224" s="1"/>
      <c r="CMO224" s="1"/>
      <c r="CMP224" s="1"/>
      <c r="CMQ224" s="1"/>
      <c r="CMR224" s="1"/>
      <c r="CMS224" s="1"/>
      <c r="CMT224" s="1"/>
      <c r="CMU224" s="1"/>
      <c r="CMV224" s="1"/>
      <c r="CMW224" s="1"/>
      <c r="CMX224" s="1"/>
      <c r="CMY224" s="1"/>
      <c r="CMZ224" s="1"/>
      <c r="CNA224" s="1"/>
      <c r="CNB224" s="1"/>
      <c r="CNC224" s="1"/>
      <c r="CND224" s="1"/>
      <c r="CNE224" s="1"/>
      <c r="CNF224" s="1"/>
      <c r="CNG224" s="1"/>
      <c r="CNH224" s="1"/>
      <c r="CNI224" s="1"/>
      <c r="CNJ224" s="1"/>
      <c r="CNK224" s="1"/>
      <c r="CNL224" s="1"/>
      <c r="CNM224" s="1"/>
      <c r="CNN224" s="1"/>
      <c r="CNO224" s="1"/>
      <c r="CNP224" s="1"/>
      <c r="CNQ224" s="1"/>
      <c r="CNR224" s="1"/>
      <c r="CNS224" s="1"/>
      <c r="CNT224" s="1"/>
      <c r="CNU224" s="1"/>
      <c r="CNV224" s="1"/>
      <c r="CNW224" s="1"/>
      <c r="CNX224" s="1"/>
      <c r="CNY224" s="1"/>
      <c r="CNZ224" s="1"/>
      <c r="COA224" s="1"/>
      <c r="COB224" s="1"/>
      <c r="COC224" s="1"/>
      <c r="COD224" s="1"/>
      <c r="COE224" s="1"/>
      <c r="COF224" s="1"/>
      <c r="COG224" s="1"/>
      <c r="COH224" s="1"/>
      <c r="COI224" s="1"/>
      <c r="COJ224" s="1"/>
      <c r="COK224" s="1"/>
      <c r="COL224" s="1"/>
      <c r="COM224" s="1"/>
      <c r="CON224" s="1"/>
      <c r="COO224" s="1"/>
      <c r="COP224" s="1"/>
      <c r="COQ224" s="1"/>
      <c r="COR224" s="1"/>
      <c r="COS224" s="1"/>
      <c r="COT224" s="1"/>
      <c r="COU224" s="1"/>
      <c r="COV224" s="1"/>
      <c r="COW224" s="1"/>
      <c r="COX224" s="1"/>
      <c r="COY224" s="1"/>
      <c r="COZ224" s="1"/>
      <c r="CPA224" s="1"/>
      <c r="CPB224" s="1"/>
      <c r="CPC224" s="1"/>
      <c r="CPD224" s="1"/>
      <c r="CPE224" s="1"/>
      <c r="CPF224" s="1"/>
      <c r="CPG224" s="1"/>
      <c r="CPH224" s="1"/>
      <c r="CPI224" s="1"/>
      <c r="CPJ224" s="1"/>
      <c r="CPK224" s="1"/>
      <c r="CPL224" s="1"/>
      <c r="CPM224" s="1"/>
      <c r="CPN224" s="1"/>
      <c r="CPO224" s="1"/>
      <c r="CPP224" s="1"/>
      <c r="CPQ224" s="1"/>
      <c r="CPR224" s="1"/>
      <c r="CPS224" s="1"/>
      <c r="CPT224" s="1"/>
      <c r="CPU224" s="1"/>
      <c r="CPV224" s="1"/>
      <c r="CPW224" s="1"/>
      <c r="CPX224" s="1"/>
      <c r="CPY224" s="1"/>
      <c r="CPZ224" s="1"/>
      <c r="CQA224" s="1"/>
      <c r="CQB224" s="1"/>
      <c r="CQC224" s="1"/>
      <c r="CQD224" s="1"/>
      <c r="CQE224" s="1"/>
      <c r="CQF224" s="1"/>
      <c r="CQG224" s="1"/>
      <c r="CQH224" s="1"/>
      <c r="CQI224" s="1"/>
      <c r="CQJ224" s="1"/>
      <c r="CQK224" s="1"/>
      <c r="CQL224" s="1"/>
      <c r="CQM224" s="1"/>
      <c r="CQN224" s="1"/>
      <c r="CQO224" s="1"/>
      <c r="CQP224" s="1"/>
      <c r="CQQ224" s="1"/>
      <c r="CQR224" s="1"/>
      <c r="CQS224" s="1"/>
      <c r="CQT224" s="1"/>
      <c r="CQU224" s="1"/>
      <c r="CQV224" s="1"/>
      <c r="CQW224" s="1"/>
      <c r="CQX224" s="1"/>
      <c r="CQY224" s="1"/>
      <c r="CQZ224" s="1"/>
      <c r="CRA224" s="1"/>
      <c r="CRB224" s="1"/>
      <c r="CRC224" s="1"/>
      <c r="CRD224" s="1"/>
      <c r="CRE224" s="1"/>
      <c r="CRF224" s="1"/>
      <c r="CRG224" s="1"/>
      <c r="CRH224" s="1"/>
      <c r="CRI224" s="1"/>
      <c r="CRJ224" s="1"/>
      <c r="CRK224" s="1"/>
      <c r="CRL224" s="1"/>
      <c r="CRM224" s="1"/>
      <c r="CRN224" s="1"/>
      <c r="CRO224" s="1"/>
      <c r="CRP224" s="1"/>
      <c r="CRQ224" s="1"/>
      <c r="CRR224" s="1"/>
      <c r="CRS224" s="1"/>
      <c r="CRT224" s="1"/>
      <c r="CRU224" s="1"/>
      <c r="CRV224" s="1"/>
      <c r="CRW224" s="1"/>
      <c r="CRX224" s="1"/>
      <c r="CRY224" s="1"/>
      <c r="CRZ224" s="1"/>
      <c r="CSA224" s="1"/>
      <c r="CSB224" s="1"/>
      <c r="CSC224" s="1"/>
      <c r="CSD224" s="1"/>
      <c r="CSE224" s="1"/>
      <c r="CSF224" s="1"/>
      <c r="CSG224" s="1"/>
      <c r="CSH224" s="1"/>
      <c r="CSI224" s="1"/>
      <c r="CSJ224" s="1"/>
      <c r="CSK224" s="1"/>
      <c r="CSL224" s="1"/>
      <c r="CSM224" s="1"/>
      <c r="CSN224" s="1"/>
      <c r="CSO224" s="1"/>
      <c r="CSP224" s="1"/>
      <c r="CSQ224" s="1"/>
      <c r="CSR224" s="1"/>
      <c r="CSS224" s="1"/>
      <c r="CST224" s="1"/>
      <c r="CSU224" s="1"/>
      <c r="CSV224" s="1"/>
      <c r="CSW224" s="1"/>
      <c r="CSX224" s="1"/>
      <c r="CSY224" s="1"/>
      <c r="CSZ224" s="1"/>
      <c r="CTA224" s="1"/>
      <c r="CTB224" s="1"/>
      <c r="CTC224" s="1"/>
      <c r="CTD224" s="1"/>
      <c r="CTE224" s="1"/>
      <c r="CTF224" s="1"/>
      <c r="CTG224" s="1"/>
      <c r="CTH224" s="1"/>
      <c r="CTI224" s="1"/>
      <c r="CTJ224" s="1"/>
      <c r="CTK224" s="1"/>
      <c r="CTL224" s="1"/>
      <c r="CTM224" s="1"/>
      <c r="CTN224" s="1"/>
      <c r="CTO224" s="1"/>
      <c r="CTP224" s="1"/>
      <c r="CTQ224" s="1"/>
      <c r="CTR224" s="1"/>
      <c r="CTS224" s="1"/>
      <c r="CTT224" s="1"/>
      <c r="CTU224" s="1"/>
      <c r="CTV224" s="1"/>
      <c r="CTW224" s="1"/>
      <c r="CTX224" s="1"/>
      <c r="CTY224" s="1"/>
      <c r="CTZ224" s="1"/>
      <c r="CUA224" s="1"/>
      <c r="CUB224" s="1"/>
      <c r="CUC224" s="1"/>
      <c r="CUD224" s="1"/>
      <c r="CUE224" s="1"/>
      <c r="CUF224" s="1"/>
      <c r="CUG224" s="1"/>
      <c r="CUH224" s="1"/>
      <c r="CUI224" s="1"/>
      <c r="CUJ224" s="1"/>
      <c r="CUK224" s="1"/>
      <c r="CUL224" s="1"/>
      <c r="CUM224" s="1"/>
      <c r="CUN224" s="1"/>
      <c r="CUO224" s="1"/>
      <c r="CUP224" s="1"/>
      <c r="CUQ224" s="1"/>
      <c r="CUR224" s="1"/>
      <c r="CUS224" s="1"/>
      <c r="CUT224" s="1"/>
      <c r="CUU224" s="1"/>
      <c r="CUV224" s="1"/>
      <c r="CUW224" s="1"/>
      <c r="CUX224" s="1"/>
      <c r="CUY224" s="1"/>
      <c r="CUZ224" s="1"/>
      <c r="CVA224" s="1"/>
      <c r="CVB224" s="1"/>
      <c r="CVC224" s="1"/>
      <c r="CVD224" s="1"/>
      <c r="CVE224" s="1"/>
      <c r="CVF224" s="1"/>
      <c r="CVG224" s="1"/>
      <c r="CVH224" s="1"/>
      <c r="CVI224" s="1"/>
      <c r="CVJ224" s="1"/>
      <c r="CVK224" s="1"/>
      <c r="CVL224" s="1"/>
      <c r="CVM224" s="1"/>
      <c r="CVN224" s="1"/>
      <c r="CVO224" s="1"/>
      <c r="CVP224" s="1"/>
      <c r="CVQ224" s="1"/>
      <c r="CVR224" s="1"/>
      <c r="CVS224" s="1"/>
      <c r="CVT224" s="1"/>
      <c r="CVU224" s="1"/>
      <c r="CVV224" s="1"/>
      <c r="CVW224" s="1"/>
      <c r="CVX224" s="1"/>
      <c r="CVY224" s="1"/>
      <c r="CVZ224" s="1"/>
      <c r="CWA224" s="1"/>
      <c r="CWB224" s="1"/>
      <c r="CWC224" s="1"/>
      <c r="CWD224" s="1"/>
      <c r="CWE224" s="1"/>
      <c r="CWF224" s="1"/>
      <c r="CWG224" s="1"/>
      <c r="CWH224" s="1"/>
      <c r="CWI224" s="1"/>
      <c r="CWJ224" s="1"/>
      <c r="CWK224" s="1"/>
      <c r="CWL224" s="1"/>
      <c r="CWM224" s="1"/>
      <c r="CWN224" s="1"/>
      <c r="CWO224" s="1"/>
      <c r="CWP224" s="1"/>
      <c r="CWQ224" s="1"/>
      <c r="CWR224" s="1"/>
      <c r="CWS224" s="1"/>
      <c r="CWT224" s="1"/>
      <c r="CWU224" s="1"/>
      <c r="CWV224" s="1"/>
      <c r="CWW224" s="1"/>
      <c r="CWX224" s="1"/>
      <c r="CWY224" s="1"/>
      <c r="CWZ224" s="1"/>
      <c r="CXA224" s="1"/>
      <c r="CXB224" s="1"/>
      <c r="CXC224" s="1"/>
      <c r="CXD224" s="1"/>
      <c r="CXE224" s="1"/>
      <c r="CXF224" s="1"/>
      <c r="CXG224" s="1"/>
      <c r="CXH224" s="1"/>
      <c r="CXI224" s="1"/>
      <c r="CXJ224" s="1"/>
      <c r="CXK224" s="1"/>
      <c r="CXL224" s="1"/>
      <c r="CXM224" s="1"/>
      <c r="CXN224" s="1"/>
      <c r="CXO224" s="1"/>
      <c r="CXP224" s="1"/>
      <c r="CXQ224" s="1"/>
      <c r="CXR224" s="1"/>
      <c r="CXS224" s="1"/>
      <c r="CXT224" s="1"/>
      <c r="CXU224" s="1"/>
      <c r="CXV224" s="1"/>
      <c r="CXW224" s="1"/>
      <c r="CXX224" s="1"/>
      <c r="CXY224" s="1"/>
      <c r="CXZ224" s="1"/>
      <c r="CYA224" s="1"/>
      <c r="CYB224" s="1"/>
      <c r="CYC224" s="1"/>
      <c r="CYD224" s="1"/>
      <c r="CYE224" s="1"/>
      <c r="CYF224" s="1"/>
      <c r="CYG224" s="1"/>
      <c r="CYH224" s="1"/>
      <c r="CYI224" s="1"/>
      <c r="CYJ224" s="1"/>
      <c r="CYK224" s="1"/>
      <c r="CYL224" s="1"/>
      <c r="CYM224" s="1"/>
      <c r="CYN224" s="1"/>
      <c r="CYO224" s="1"/>
      <c r="CYP224" s="1"/>
      <c r="CYQ224" s="1"/>
      <c r="CYR224" s="1"/>
      <c r="CYS224" s="1"/>
      <c r="CYT224" s="1"/>
      <c r="CYU224" s="1"/>
      <c r="CYV224" s="1"/>
      <c r="CYW224" s="1"/>
      <c r="CYX224" s="1"/>
      <c r="CYY224" s="1"/>
      <c r="CYZ224" s="1"/>
      <c r="CZA224" s="1"/>
      <c r="CZB224" s="1"/>
      <c r="CZC224" s="1"/>
      <c r="CZD224" s="1"/>
      <c r="CZE224" s="1"/>
      <c r="CZF224" s="1"/>
      <c r="CZG224" s="1"/>
      <c r="CZH224" s="1"/>
      <c r="CZI224" s="1"/>
      <c r="CZJ224" s="1"/>
      <c r="CZK224" s="1"/>
      <c r="CZL224" s="1"/>
      <c r="CZM224" s="1"/>
      <c r="CZN224" s="1"/>
      <c r="CZO224" s="1"/>
      <c r="CZP224" s="1"/>
      <c r="CZQ224" s="1"/>
      <c r="CZR224" s="1"/>
      <c r="CZS224" s="1"/>
      <c r="CZT224" s="1"/>
      <c r="CZU224" s="1"/>
      <c r="CZV224" s="1"/>
      <c r="CZW224" s="1"/>
      <c r="CZX224" s="1"/>
      <c r="CZY224" s="1"/>
      <c r="CZZ224" s="1"/>
      <c r="DAA224" s="1"/>
      <c r="DAB224" s="1"/>
      <c r="DAC224" s="1"/>
      <c r="DAD224" s="1"/>
      <c r="DAE224" s="1"/>
      <c r="DAF224" s="1"/>
      <c r="DAG224" s="1"/>
      <c r="DAH224" s="1"/>
      <c r="DAI224" s="1"/>
      <c r="DAJ224" s="1"/>
      <c r="DAK224" s="1"/>
      <c r="DAL224" s="1"/>
      <c r="DAM224" s="1"/>
      <c r="DAN224" s="1"/>
      <c r="DAO224" s="1"/>
      <c r="DAP224" s="1"/>
      <c r="DAQ224" s="1"/>
      <c r="DAR224" s="1"/>
      <c r="DAS224" s="1"/>
      <c r="DAT224" s="1"/>
      <c r="DAU224" s="1"/>
      <c r="DAV224" s="1"/>
      <c r="DAW224" s="1"/>
      <c r="DAX224" s="1"/>
      <c r="DAY224" s="1"/>
      <c r="DAZ224" s="1"/>
      <c r="DBA224" s="1"/>
      <c r="DBB224" s="1"/>
      <c r="DBC224" s="1"/>
      <c r="DBD224" s="1"/>
      <c r="DBE224" s="1"/>
      <c r="DBF224" s="1"/>
      <c r="DBG224" s="1"/>
      <c r="DBH224" s="1"/>
      <c r="DBI224" s="1"/>
      <c r="DBJ224" s="1"/>
      <c r="DBK224" s="1"/>
      <c r="DBL224" s="1"/>
      <c r="DBM224" s="1"/>
      <c r="DBN224" s="1"/>
      <c r="DBO224" s="1"/>
      <c r="DBP224" s="1"/>
      <c r="DBQ224" s="1"/>
      <c r="DBR224" s="1"/>
      <c r="DBS224" s="1"/>
      <c r="DBT224" s="1"/>
      <c r="DBU224" s="1"/>
      <c r="DBV224" s="1"/>
      <c r="DBW224" s="1"/>
      <c r="DBX224" s="1"/>
      <c r="DBY224" s="1"/>
      <c r="DBZ224" s="1"/>
      <c r="DCA224" s="1"/>
      <c r="DCB224" s="1"/>
      <c r="DCC224" s="1"/>
      <c r="DCD224" s="1"/>
      <c r="DCE224" s="1"/>
      <c r="DCF224" s="1"/>
      <c r="DCG224" s="1"/>
      <c r="DCH224" s="1"/>
      <c r="DCI224" s="1"/>
      <c r="DCJ224" s="1"/>
      <c r="DCK224" s="1"/>
      <c r="DCL224" s="1"/>
      <c r="DCM224" s="1"/>
      <c r="DCN224" s="1"/>
      <c r="DCO224" s="1"/>
      <c r="DCP224" s="1"/>
      <c r="DCQ224" s="1"/>
      <c r="DCR224" s="1"/>
      <c r="DCS224" s="1"/>
      <c r="DCT224" s="1"/>
      <c r="DCU224" s="1"/>
      <c r="DCV224" s="1"/>
      <c r="DCW224" s="1"/>
      <c r="DCX224" s="1"/>
      <c r="DCY224" s="1"/>
      <c r="DCZ224" s="1"/>
      <c r="DDA224" s="1"/>
      <c r="DDB224" s="1"/>
      <c r="DDC224" s="1"/>
      <c r="DDD224" s="1"/>
      <c r="DDE224" s="1"/>
      <c r="DDF224" s="1"/>
      <c r="DDG224" s="1"/>
      <c r="DDH224" s="1"/>
      <c r="DDI224" s="1"/>
      <c r="DDJ224" s="1"/>
      <c r="DDK224" s="1"/>
      <c r="DDL224" s="1"/>
      <c r="DDM224" s="1"/>
      <c r="DDN224" s="1"/>
      <c r="DDO224" s="1"/>
      <c r="DDP224" s="1"/>
      <c r="DDQ224" s="1"/>
      <c r="DDR224" s="1"/>
      <c r="DDS224" s="1"/>
      <c r="DDT224" s="1"/>
      <c r="DDU224" s="1"/>
      <c r="DDV224" s="1"/>
      <c r="DDW224" s="1"/>
      <c r="DDX224" s="1"/>
      <c r="DDY224" s="1"/>
      <c r="DDZ224" s="1"/>
      <c r="DEA224" s="1"/>
      <c r="DEB224" s="1"/>
      <c r="DEC224" s="1"/>
      <c r="DED224" s="1"/>
      <c r="DEE224" s="1"/>
      <c r="DEF224" s="1"/>
      <c r="DEG224" s="1"/>
      <c r="DEH224" s="1"/>
      <c r="DEI224" s="1"/>
      <c r="DEJ224" s="1"/>
      <c r="DEK224" s="1"/>
      <c r="DEL224" s="1"/>
      <c r="DEM224" s="1"/>
      <c r="DEN224" s="1"/>
      <c r="DEO224" s="1"/>
      <c r="DEP224" s="1"/>
      <c r="DEQ224" s="1"/>
      <c r="DER224" s="1"/>
      <c r="DES224" s="1"/>
      <c r="DET224" s="1"/>
      <c r="DEU224" s="1"/>
      <c r="DEV224" s="1"/>
      <c r="DEW224" s="1"/>
      <c r="DEX224" s="1"/>
      <c r="DEY224" s="1"/>
      <c r="DEZ224" s="1"/>
      <c r="DFA224" s="1"/>
      <c r="DFB224" s="1"/>
      <c r="DFC224" s="1"/>
      <c r="DFD224" s="1"/>
      <c r="DFE224" s="1"/>
      <c r="DFF224" s="1"/>
      <c r="DFG224" s="1"/>
      <c r="DFH224" s="1"/>
      <c r="DFI224" s="1"/>
      <c r="DFJ224" s="1"/>
      <c r="DFK224" s="1"/>
      <c r="DFL224" s="1"/>
      <c r="DFM224" s="1"/>
      <c r="DFN224" s="1"/>
      <c r="DFO224" s="1"/>
      <c r="DFP224" s="1"/>
      <c r="DFQ224" s="1"/>
      <c r="DFR224" s="1"/>
      <c r="DFS224" s="1"/>
      <c r="DFT224" s="1"/>
      <c r="DFU224" s="1"/>
      <c r="DFV224" s="1"/>
      <c r="DFW224" s="1"/>
      <c r="DFX224" s="1"/>
      <c r="DFY224" s="1"/>
      <c r="DFZ224" s="1"/>
      <c r="DGA224" s="1"/>
      <c r="DGB224" s="1"/>
      <c r="DGC224" s="1"/>
      <c r="DGD224" s="1"/>
      <c r="DGE224" s="1"/>
      <c r="DGF224" s="1"/>
      <c r="DGG224" s="1"/>
      <c r="DGH224" s="1"/>
      <c r="DGI224" s="1"/>
      <c r="DGJ224" s="1"/>
      <c r="DGK224" s="1"/>
      <c r="DGL224" s="1"/>
      <c r="DGM224" s="1"/>
      <c r="DGN224" s="1"/>
      <c r="DGO224" s="1"/>
      <c r="DGP224" s="1"/>
      <c r="DGQ224" s="1"/>
      <c r="DGR224" s="1"/>
      <c r="DGS224" s="1"/>
      <c r="DGT224" s="1"/>
      <c r="DGU224" s="1"/>
      <c r="DGV224" s="1"/>
      <c r="DGW224" s="1"/>
      <c r="DGX224" s="1"/>
      <c r="DGY224" s="1"/>
      <c r="DGZ224" s="1"/>
      <c r="DHA224" s="1"/>
      <c r="DHB224" s="1"/>
      <c r="DHC224" s="1"/>
      <c r="DHD224" s="1"/>
      <c r="DHE224" s="1"/>
      <c r="DHF224" s="1"/>
      <c r="DHG224" s="1"/>
      <c r="DHH224" s="1"/>
      <c r="DHI224" s="1"/>
      <c r="DHJ224" s="1"/>
      <c r="DHK224" s="1"/>
      <c r="DHL224" s="1"/>
      <c r="DHM224" s="1"/>
      <c r="DHN224" s="1"/>
      <c r="DHO224" s="1"/>
      <c r="DHP224" s="1"/>
      <c r="DHQ224" s="1"/>
      <c r="DHR224" s="1"/>
      <c r="DHS224" s="1"/>
      <c r="DHT224" s="1"/>
      <c r="DHU224" s="1"/>
      <c r="DHV224" s="1"/>
      <c r="DHW224" s="1"/>
      <c r="DHX224" s="1"/>
      <c r="DHY224" s="1"/>
      <c r="DHZ224" s="1"/>
      <c r="DIA224" s="1"/>
      <c r="DIB224" s="1"/>
      <c r="DIC224" s="1"/>
      <c r="DID224" s="1"/>
      <c r="DIE224" s="1"/>
      <c r="DIF224" s="1"/>
      <c r="DIG224" s="1"/>
      <c r="DIH224" s="1"/>
      <c r="DII224" s="1"/>
      <c r="DIJ224" s="1"/>
      <c r="DIK224" s="1"/>
      <c r="DIL224" s="1"/>
      <c r="DIM224" s="1"/>
      <c r="DIN224" s="1"/>
      <c r="DIO224" s="1"/>
      <c r="DIP224" s="1"/>
      <c r="DIQ224" s="1"/>
      <c r="DIR224" s="1"/>
      <c r="DIS224" s="1"/>
      <c r="DIT224" s="1"/>
      <c r="DIU224" s="1"/>
      <c r="DIV224" s="1"/>
      <c r="DIW224" s="1"/>
      <c r="DIX224" s="1"/>
      <c r="DIY224" s="1"/>
      <c r="DIZ224" s="1"/>
      <c r="DJA224" s="1"/>
      <c r="DJB224" s="1"/>
      <c r="DJC224" s="1"/>
      <c r="DJD224" s="1"/>
      <c r="DJE224" s="1"/>
      <c r="DJF224" s="1"/>
      <c r="DJG224" s="1"/>
      <c r="DJH224" s="1"/>
      <c r="DJI224" s="1"/>
      <c r="DJJ224" s="1"/>
      <c r="DJK224" s="1"/>
      <c r="DJL224" s="1"/>
      <c r="DJM224" s="1"/>
      <c r="DJN224" s="1"/>
      <c r="DJO224" s="1"/>
      <c r="DJP224" s="1"/>
      <c r="DJQ224" s="1"/>
      <c r="DJR224" s="1"/>
      <c r="DJS224" s="1"/>
      <c r="DJT224" s="1"/>
      <c r="DJU224" s="1"/>
      <c r="DJV224" s="1"/>
      <c r="DJW224" s="1"/>
      <c r="DJX224" s="1"/>
      <c r="DJY224" s="1"/>
      <c r="DJZ224" s="1"/>
      <c r="DKA224" s="1"/>
      <c r="DKB224" s="1"/>
      <c r="DKC224" s="1"/>
      <c r="DKD224" s="1"/>
      <c r="DKE224" s="1"/>
      <c r="DKF224" s="1"/>
      <c r="DKG224" s="1"/>
      <c r="DKH224" s="1"/>
      <c r="DKI224" s="1"/>
      <c r="DKJ224" s="1"/>
      <c r="DKK224" s="1"/>
      <c r="DKL224" s="1"/>
      <c r="DKM224" s="1"/>
      <c r="DKN224" s="1"/>
      <c r="DKO224" s="1"/>
      <c r="DKP224" s="1"/>
      <c r="DKQ224" s="1"/>
      <c r="DKR224" s="1"/>
      <c r="DKS224" s="1"/>
      <c r="DKT224" s="1"/>
      <c r="DKU224" s="1"/>
      <c r="DKV224" s="1"/>
      <c r="DKW224" s="1"/>
      <c r="DKX224" s="1"/>
      <c r="DKY224" s="1"/>
      <c r="DKZ224" s="1"/>
      <c r="DLA224" s="1"/>
      <c r="DLB224" s="1"/>
      <c r="DLC224" s="1"/>
      <c r="DLD224" s="1"/>
      <c r="DLE224" s="1"/>
      <c r="DLF224" s="1"/>
      <c r="DLG224" s="1"/>
      <c r="DLH224" s="1"/>
      <c r="DLI224" s="1"/>
      <c r="DLJ224" s="1"/>
      <c r="DLK224" s="1"/>
      <c r="DLL224" s="1"/>
      <c r="DLM224" s="1"/>
      <c r="DLN224" s="1"/>
      <c r="DLO224" s="1"/>
      <c r="DLP224" s="1"/>
      <c r="DLQ224" s="1"/>
      <c r="DLR224" s="1"/>
      <c r="DLS224" s="1"/>
      <c r="DLT224" s="1"/>
      <c r="DLU224" s="1"/>
      <c r="DLV224" s="1"/>
      <c r="DLW224" s="1"/>
      <c r="DLX224" s="1"/>
      <c r="DLY224" s="1"/>
      <c r="DLZ224" s="1"/>
      <c r="DMA224" s="1"/>
      <c r="DMB224" s="1"/>
      <c r="DMC224" s="1"/>
      <c r="DMD224" s="1"/>
      <c r="DME224" s="1"/>
      <c r="DMF224" s="1"/>
      <c r="DMG224" s="1"/>
      <c r="DMH224" s="1"/>
      <c r="DMI224" s="1"/>
      <c r="DMJ224" s="1"/>
      <c r="DMK224" s="1"/>
      <c r="DML224" s="1"/>
      <c r="DMM224" s="1"/>
      <c r="DMN224" s="1"/>
      <c r="DMO224" s="1"/>
      <c r="DMP224" s="1"/>
      <c r="DMQ224" s="1"/>
      <c r="DMR224" s="1"/>
      <c r="DMS224" s="1"/>
      <c r="DMT224" s="1"/>
      <c r="DMU224" s="1"/>
      <c r="DMV224" s="1"/>
      <c r="DMW224" s="1"/>
      <c r="DMX224" s="1"/>
      <c r="DMY224" s="1"/>
      <c r="DMZ224" s="1"/>
      <c r="DNA224" s="1"/>
      <c r="DNB224" s="1"/>
      <c r="DNC224" s="1"/>
      <c r="DND224" s="1"/>
      <c r="DNE224" s="1"/>
      <c r="DNF224" s="1"/>
      <c r="DNG224" s="1"/>
      <c r="DNH224" s="1"/>
      <c r="DNI224" s="1"/>
      <c r="DNJ224" s="1"/>
      <c r="DNK224" s="1"/>
      <c r="DNL224" s="1"/>
      <c r="DNM224" s="1"/>
      <c r="DNN224" s="1"/>
      <c r="DNO224" s="1"/>
      <c r="DNP224" s="1"/>
      <c r="DNQ224" s="1"/>
      <c r="DNR224" s="1"/>
      <c r="DNS224" s="1"/>
      <c r="DNT224" s="1"/>
      <c r="DNU224" s="1"/>
      <c r="DNV224" s="1"/>
      <c r="DNW224" s="1"/>
      <c r="DNX224" s="1"/>
      <c r="DNY224" s="1"/>
      <c r="DNZ224" s="1"/>
      <c r="DOA224" s="1"/>
      <c r="DOB224" s="1"/>
      <c r="DOC224" s="1"/>
      <c r="DOD224" s="1"/>
      <c r="DOE224" s="1"/>
      <c r="DOF224" s="1"/>
      <c r="DOG224" s="1"/>
      <c r="DOH224" s="1"/>
      <c r="DOI224" s="1"/>
      <c r="DOJ224" s="1"/>
      <c r="DOK224" s="1"/>
      <c r="DOL224" s="1"/>
      <c r="DOM224" s="1"/>
      <c r="DON224" s="1"/>
      <c r="DOO224" s="1"/>
      <c r="DOP224" s="1"/>
      <c r="DOQ224" s="1"/>
      <c r="DOR224" s="1"/>
      <c r="DOS224" s="1"/>
      <c r="DOT224" s="1"/>
      <c r="DOU224" s="1"/>
      <c r="DOV224" s="1"/>
      <c r="DOW224" s="1"/>
      <c r="DOX224" s="1"/>
      <c r="DOY224" s="1"/>
      <c r="DOZ224" s="1"/>
      <c r="DPA224" s="1"/>
      <c r="DPB224" s="1"/>
      <c r="DPC224" s="1"/>
      <c r="DPD224" s="1"/>
      <c r="DPE224" s="1"/>
      <c r="DPF224" s="1"/>
      <c r="DPG224" s="1"/>
      <c r="DPH224" s="1"/>
      <c r="DPI224" s="1"/>
      <c r="DPJ224" s="1"/>
      <c r="DPK224" s="1"/>
      <c r="DPL224" s="1"/>
      <c r="DPM224" s="1"/>
      <c r="DPN224" s="1"/>
      <c r="DPO224" s="1"/>
      <c r="DPP224" s="1"/>
      <c r="DPQ224" s="1"/>
      <c r="DPR224" s="1"/>
      <c r="DPS224" s="1"/>
      <c r="DPT224" s="1"/>
      <c r="DPU224" s="1"/>
      <c r="DPV224" s="1"/>
      <c r="DPW224" s="1"/>
      <c r="DPX224" s="1"/>
      <c r="DPY224" s="1"/>
      <c r="DPZ224" s="1"/>
      <c r="DQA224" s="1"/>
      <c r="DQB224" s="1"/>
      <c r="DQC224" s="1"/>
      <c r="DQD224" s="1"/>
      <c r="DQE224" s="1"/>
      <c r="DQF224" s="1"/>
      <c r="DQG224" s="1"/>
      <c r="DQH224" s="1"/>
      <c r="DQI224" s="1"/>
      <c r="DQJ224" s="1"/>
      <c r="DQK224" s="1"/>
      <c r="DQL224" s="1"/>
      <c r="DQM224" s="1"/>
      <c r="DQN224" s="1"/>
      <c r="DQO224" s="1"/>
      <c r="DQP224" s="1"/>
      <c r="DQQ224" s="1"/>
      <c r="DQR224" s="1"/>
      <c r="DQS224" s="1"/>
      <c r="DQT224" s="1"/>
      <c r="DQU224" s="1"/>
      <c r="DQV224" s="1"/>
      <c r="DQW224" s="1"/>
      <c r="DQX224" s="1"/>
      <c r="DQY224" s="1"/>
      <c r="DQZ224" s="1"/>
      <c r="DRA224" s="1"/>
      <c r="DRB224" s="1"/>
      <c r="DRC224" s="1"/>
      <c r="DRD224" s="1"/>
      <c r="DRE224" s="1"/>
      <c r="DRF224" s="1"/>
      <c r="DRG224" s="1"/>
      <c r="DRH224" s="1"/>
      <c r="DRI224" s="1"/>
      <c r="DRJ224" s="1"/>
      <c r="DRK224" s="1"/>
      <c r="DRL224" s="1"/>
      <c r="DRM224" s="1"/>
      <c r="DRN224" s="1"/>
      <c r="DRO224" s="1"/>
      <c r="DRP224" s="1"/>
      <c r="DRQ224" s="1"/>
      <c r="DRR224" s="1"/>
      <c r="DRS224" s="1"/>
      <c r="DRT224" s="1"/>
      <c r="DRU224" s="1"/>
      <c r="DRV224" s="1"/>
      <c r="DRW224" s="1"/>
      <c r="DRX224" s="1"/>
      <c r="DRY224" s="1"/>
      <c r="DRZ224" s="1"/>
      <c r="DSA224" s="1"/>
      <c r="DSB224" s="1"/>
      <c r="DSC224" s="1"/>
      <c r="DSD224" s="1"/>
      <c r="DSE224" s="1"/>
      <c r="DSF224" s="1"/>
      <c r="DSG224" s="1"/>
      <c r="DSH224" s="1"/>
      <c r="DSI224" s="1"/>
      <c r="DSJ224" s="1"/>
      <c r="DSK224" s="1"/>
      <c r="DSL224" s="1"/>
      <c r="DSM224" s="1"/>
      <c r="DSN224" s="1"/>
      <c r="DSO224" s="1"/>
      <c r="DSP224" s="1"/>
      <c r="DSQ224" s="1"/>
      <c r="DSR224" s="1"/>
      <c r="DSS224" s="1"/>
      <c r="DST224" s="1"/>
      <c r="DSU224" s="1"/>
      <c r="DSV224" s="1"/>
      <c r="DSW224" s="1"/>
      <c r="DSX224" s="1"/>
      <c r="DSY224" s="1"/>
      <c r="DSZ224" s="1"/>
      <c r="DTA224" s="1"/>
      <c r="DTB224" s="1"/>
      <c r="DTC224" s="1"/>
      <c r="DTD224" s="1"/>
      <c r="DTE224" s="1"/>
      <c r="DTF224" s="1"/>
      <c r="DTG224" s="1"/>
      <c r="DTH224" s="1"/>
      <c r="DTI224" s="1"/>
      <c r="DTJ224" s="1"/>
      <c r="DTK224" s="1"/>
      <c r="DTL224" s="1"/>
      <c r="DTM224" s="1"/>
      <c r="DTN224" s="1"/>
      <c r="DTO224" s="1"/>
      <c r="DTP224" s="1"/>
      <c r="DTQ224" s="1"/>
      <c r="DTR224" s="1"/>
      <c r="DTS224" s="1"/>
      <c r="DTT224" s="1"/>
      <c r="DTU224" s="1"/>
      <c r="DTV224" s="1"/>
      <c r="DTW224" s="1"/>
      <c r="DTX224" s="1"/>
      <c r="DTY224" s="1"/>
      <c r="DTZ224" s="1"/>
      <c r="DUA224" s="1"/>
      <c r="DUB224" s="1"/>
      <c r="DUC224" s="1"/>
      <c r="DUD224" s="1"/>
      <c r="DUE224" s="1"/>
      <c r="DUF224" s="1"/>
      <c r="DUG224" s="1"/>
      <c r="DUH224" s="1"/>
      <c r="DUI224" s="1"/>
      <c r="DUJ224" s="1"/>
      <c r="DUK224" s="1"/>
      <c r="DUL224" s="1"/>
      <c r="DUM224" s="1"/>
      <c r="DUN224" s="1"/>
      <c r="DUO224" s="1"/>
      <c r="DUP224" s="1"/>
      <c r="DUQ224" s="1"/>
      <c r="DUR224" s="1"/>
      <c r="DUS224" s="1"/>
      <c r="DUT224" s="1"/>
      <c r="DUU224" s="1"/>
      <c r="DUV224" s="1"/>
      <c r="DUW224" s="1"/>
      <c r="DUX224" s="1"/>
      <c r="DUY224" s="1"/>
      <c r="DUZ224" s="1"/>
      <c r="DVA224" s="1"/>
      <c r="DVB224" s="1"/>
      <c r="DVC224" s="1"/>
      <c r="DVD224" s="1"/>
      <c r="DVE224" s="1"/>
      <c r="DVF224" s="1"/>
      <c r="DVG224" s="1"/>
      <c r="DVH224" s="1"/>
      <c r="DVI224" s="1"/>
      <c r="DVJ224" s="1"/>
      <c r="DVK224" s="1"/>
      <c r="DVL224" s="1"/>
      <c r="DVM224" s="1"/>
      <c r="DVN224" s="1"/>
      <c r="DVO224" s="1"/>
      <c r="DVP224" s="1"/>
      <c r="DVQ224" s="1"/>
      <c r="DVR224" s="1"/>
      <c r="DVS224" s="1"/>
      <c r="DVT224" s="1"/>
      <c r="DVU224" s="1"/>
      <c r="DVV224" s="1"/>
      <c r="DVW224" s="1"/>
      <c r="DVX224" s="1"/>
      <c r="DVY224" s="1"/>
      <c r="DVZ224" s="1"/>
      <c r="DWA224" s="1"/>
      <c r="DWB224" s="1"/>
      <c r="DWC224" s="1"/>
      <c r="DWD224" s="1"/>
      <c r="DWE224" s="1"/>
      <c r="DWF224" s="1"/>
      <c r="DWG224" s="1"/>
      <c r="DWH224" s="1"/>
      <c r="DWI224" s="1"/>
      <c r="DWJ224" s="1"/>
      <c r="DWK224" s="1"/>
      <c r="DWL224" s="1"/>
      <c r="DWM224" s="1"/>
      <c r="DWN224" s="1"/>
      <c r="DWO224" s="1"/>
      <c r="DWP224" s="1"/>
      <c r="DWQ224" s="1"/>
      <c r="DWR224" s="1"/>
      <c r="DWS224" s="1"/>
      <c r="DWT224" s="1"/>
      <c r="DWU224" s="1"/>
      <c r="DWV224" s="1"/>
      <c r="DWW224" s="1"/>
      <c r="DWX224" s="1"/>
      <c r="DWY224" s="1"/>
      <c r="DWZ224" s="1"/>
      <c r="DXA224" s="1"/>
      <c r="DXB224" s="1"/>
      <c r="DXC224" s="1"/>
      <c r="DXD224" s="1"/>
      <c r="DXE224" s="1"/>
      <c r="DXF224" s="1"/>
      <c r="DXG224" s="1"/>
      <c r="DXH224" s="1"/>
      <c r="DXI224" s="1"/>
      <c r="DXJ224" s="1"/>
      <c r="DXK224" s="1"/>
      <c r="DXL224" s="1"/>
      <c r="DXM224" s="1"/>
      <c r="DXN224" s="1"/>
      <c r="DXO224" s="1"/>
      <c r="DXP224" s="1"/>
      <c r="DXQ224" s="1"/>
      <c r="DXR224" s="1"/>
      <c r="DXS224" s="1"/>
      <c r="DXT224" s="1"/>
      <c r="DXU224" s="1"/>
      <c r="DXV224" s="1"/>
      <c r="DXW224" s="1"/>
      <c r="DXX224" s="1"/>
      <c r="DXY224" s="1"/>
      <c r="DXZ224" s="1"/>
      <c r="DYA224" s="1"/>
      <c r="DYB224" s="1"/>
      <c r="DYC224" s="1"/>
      <c r="DYD224" s="1"/>
      <c r="DYE224" s="1"/>
      <c r="DYF224" s="1"/>
      <c r="DYG224" s="1"/>
      <c r="DYH224" s="1"/>
      <c r="DYI224" s="1"/>
      <c r="DYJ224" s="1"/>
      <c r="DYK224" s="1"/>
      <c r="DYL224" s="1"/>
      <c r="DYM224" s="1"/>
      <c r="DYN224" s="1"/>
      <c r="DYO224" s="1"/>
      <c r="DYP224" s="1"/>
      <c r="DYQ224" s="1"/>
      <c r="DYR224" s="1"/>
      <c r="DYS224" s="1"/>
      <c r="DYT224" s="1"/>
      <c r="DYU224" s="1"/>
      <c r="DYV224" s="1"/>
      <c r="DYW224" s="1"/>
      <c r="DYX224" s="1"/>
      <c r="DYY224" s="1"/>
      <c r="DYZ224" s="1"/>
      <c r="DZA224" s="1"/>
      <c r="DZB224" s="1"/>
      <c r="DZC224" s="1"/>
      <c r="DZD224" s="1"/>
      <c r="DZE224" s="1"/>
      <c r="DZF224" s="1"/>
      <c r="DZG224" s="1"/>
      <c r="DZH224" s="1"/>
      <c r="DZI224" s="1"/>
      <c r="DZJ224" s="1"/>
      <c r="DZK224" s="1"/>
      <c r="DZL224" s="1"/>
      <c r="DZM224" s="1"/>
      <c r="DZN224" s="1"/>
      <c r="DZO224" s="1"/>
      <c r="DZP224" s="1"/>
      <c r="DZQ224" s="1"/>
      <c r="DZR224" s="1"/>
      <c r="DZS224" s="1"/>
      <c r="DZT224" s="1"/>
      <c r="DZU224" s="1"/>
      <c r="DZV224" s="1"/>
      <c r="DZW224" s="1"/>
      <c r="DZX224" s="1"/>
      <c r="DZY224" s="1"/>
      <c r="DZZ224" s="1"/>
      <c r="EAA224" s="1"/>
      <c r="EAB224" s="1"/>
      <c r="EAC224" s="1"/>
      <c r="EAD224" s="1"/>
      <c r="EAE224" s="1"/>
      <c r="EAF224" s="1"/>
      <c r="EAG224" s="1"/>
      <c r="EAH224" s="1"/>
      <c r="EAI224" s="1"/>
      <c r="EAJ224" s="1"/>
      <c r="EAK224" s="1"/>
      <c r="EAL224" s="1"/>
      <c r="EAM224" s="1"/>
      <c r="EAN224" s="1"/>
      <c r="EAO224" s="1"/>
      <c r="EAP224" s="1"/>
      <c r="EAQ224" s="1"/>
      <c r="EAR224" s="1"/>
      <c r="EAS224" s="1"/>
      <c r="EAT224" s="1"/>
      <c r="EAU224" s="1"/>
      <c r="EAV224" s="1"/>
      <c r="EAW224" s="1"/>
      <c r="EAX224" s="1"/>
      <c r="EAY224" s="1"/>
      <c r="EAZ224" s="1"/>
      <c r="EBA224" s="1"/>
      <c r="EBB224" s="1"/>
      <c r="EBC224" s="1"/>
      <c r="EBD224" s="1"/>
      <c r="EBE224" s="1"/>
      <c r="EBF224" s="1"/>
      <c r="EBG224" s="1"/>
      <c r="EBH224" s="1"/>
      <c r="EBI224" s="1"/>
      <c r="EBJ224" s="1"/>
      <c r="EBK224" s="1"/>
      <c r="EBL224" s="1"/>
      <c r="EBM224" s="1"/>
      <c r="EBN224" s="1"/>
      <c r="EBO224" s="1"/>
      <c r="EBP224" s="1"/>
      <c r="EBQ224" s="1"/>
      <c r="EBR224" s="1"/>
      <c r="EBS224" s="1"/>
      <c r="EBT224" s="1"/>
      <c r="EBU224" s="1"/>
      <c r="EBV224" s="1"/>
      <c r="EBW224" s="1"/>
      <c r="EBX224" s="1"/>
      <c r="EBY224" s="1"/>
      <c r="EBZ224" s="1"/>
      <c r="ECA224" s="1"/>
      <c r="ECB224" s="1"/>
      <c r="ECC224" s="1"/>
      <c r="ECD224" s="1"/>
      <c r="ECE224" s="1"/>
      <c r="ECF224" s="1"/>
      <c r="ECG224" s="1"/>
      <c r="ECH224" s="1"/>
      <c r="ECI224" s="1"/>
      <c r="ECJ224" s="1"/>
      <c r="ECK224" s="1"/>
      <c r="ECL224" s="1"/>
      <c r="ECM224" s="1"/>
      <c r="ECN224" s="1"/>
      <c r="ECO224" s="1"/>
      <c r="ECP224" s="1"/>
      <c r="ECQ224" s="1"/>
      <c r="ECR224" s="1"/>
      <c r="ECS224" s="1"/>
      <c r="ECT224" s="1"/>
      <c r="ECU224" s="1"/>
      <c r="ECV224" s="1"/>
      <c r="ECW224" s="1"/>
      <c r="ECX224" s="1"/>
      <c r="ECY224" s="1"/>
      <c r="ECZ224" s="1"/>
      <c r="EDA224" s="1"/>
      <c r="EDB224" s="1"/>
      <c r="EDC224" s="1"/>
      <c r="EDD224" s="1"/>
      <c r="EDE224" s="1"/>
      <c r="EDF224" s="1"/>
      <c r="EDG224" s="1"/>
      <c r="EDH224" s="1"/>
      <c r="EDI224" s="1"/>
      <c r="EDJ224" s="1"/>
      <c r="EDK224" s="1"/>
      <c r="EDL224" s="1"/>
      <c r="EDM224" s="1"/>
      <c r="EDN224" s="1"/>
      <c r="EDO224" s="1"/>
      <c r="EDP224" s="1"/>
      <c r="EDQ224" s="1"/>
      <c r="EDR224" s="1"/>
      <c r="EDS224" s="1"/>
      <c r="EDT224" s="1"/>
      <c r="EDU224" s="1"/>
      <c r="EDV224" s="1"/>
      <c r="EDW224" s="1"/>
      <c r="EDX224" s="1"/>
      <c r="EDY224" s="1"/>
      <c r="EDZ224" s="1"/>
      <c r="EEA224" s="1"/>
      <c r="EEB224" s="1"/>
      <c r="EEC224" s="1"/>
      <c r="EED224" s="1"/>
      <c r="EEE224" s="1"/>
      <c r="EEF224" s="1"/>
      <c r="EEG224" s="1"/>
      <c r="EEH224" s="1"/>
      <c r="EEI224" s="1"/>
      <c r="EEJ224" s="1"/>
      <c r="EEK224" s="1"/>
      <c r="EEL224" s="1"/>
      <c r="EEM224" s="1"/>
      <c r="EEN224" s="1"/>
      <c r="EEO224" s="1"/>
      <c r="EEP224" s="1"/>
      <c r="EEQ224" s="1"/>
      <c r="EER224" s="1"/>
      <c r="EES224" s="1"/>
      <c r="EET224" s="1"/>
      <c r="EEU224" s="1"/>
      <c r="EEV224" s="1"/>
      <c r="EEW224" s="1"/>
      <c r="EEX224" s="1"/>
      <c r="EEY224" s="1"/>
      <c r="EEZ224" s="1"/>
      <c r="EFA224" s="1"/>
      <c r="EFB224" s="1"/>
      <c r="EFC224" s="1"/>
      <c r="EFD224" s="1"/>
      <c r="EFE224" s="1"/>
      <c r="EFF224" s="1"/>
      <c r="EFG224" s="1"/>
      <c r="EFH224" s="1"/>
      <c r="EFI224" s="1"/>
      <c r="EFJ224" s="1"/>
      <c r="EFK224" s="1"/>
      <c r="EFL224" s="1"/>
      <c r="EFM224" s="1"/>
      <c r="EFN224" s="1"/>
      <c r="EFO224" s="1"/>
      <c r="EFP224" s="1"/>
      <c r="EFQ224" s="1"/>
      <c r="EFR224" s="1"/>
      <c r="EFS224" s="1"/>
      <c r="EFT224" s="1"/>
      <c r="EFU224" s="1"/>
      <c r="EFV224" s="1"/>
      <c r="EFW224" s="1"/>
      <c r="EFX224" s="1"/>
      <c r="EFY224" s="1"/>
      <c r="EFZ224" s="1"/>
      <c r="EGA224" s="1"/>
      <c r="EGB224" s="1"/>
      <c r="EGC224" s="1"/>
      <c r="EGD224" s="1"/>
      <c r="EGE224" s="1"/>
      <c r="EGF224" s="1"/>
      <c r="EGG224" s="1"/>
      <c r="EGH224" s="1"/>
      <c r="EGI224" s="1"/>
      <c r="EGJ224" s="1"/>
      <c r="EGK224" s="1"/>
      <c r="EGL224" s="1"/>
      <c r="EGM224" s="1"/>
      <c r="EGN224" s="1"/>
      <c r="EGO224" s="1"/>
      <c r="EGP224" s="1"/>
      <c r="EGQ224" s="1"/>
      <c r="EGR224" s="1"/>
      <c r="EGS224" s="1"/>
      <c r="EGT224" s="1"/>
      <c r="EGU224" s="1"/>
      <c r="EGV224" s="1"/>
      <c r="EGW224" s="1"/>
      <c r="EGX224" s="1"/>
      <c r="EGY224" s="1"/>
      <c r="EGZ224" s="1"/>
      <c r="EHA224" s="1"/>
      <c r="EHB224" s="1"/>
      <c r="EHC224" s="1"/>
      <c r="EHD224" s="1"/>
      <c r="EHE224" s="1"/>
      <c r="EHF224" s="1"/>
      <c r="EHG224" s="1"/>
      <c r="EHH224" s="1"/>
      <c r="EHI224" s="1"/>
      <c r="EHJ224" s="1"/>
      <c r="EHK224" s="1"/>
      <c r="EHL224" s="1"/>
      <c r="EHM224" s="1"/>
      <c r="EHN224" s="1"/>
      <c r="EHO224" s="1"/>
      <c r="EHP224" s="1"/>
      <c r="EHQ224" s="1"/>
      <c r="EHR224" s="1"/>
      <c r="EHS224" s="1"/>
      <c r="EHT224" s="1"/>
      <c r="EHU224" s="1"/>
      <c r="EHV224" s="1"/>
      <c r="EHW224" s="1"/>
      <c r="EHX224" s="1"/>
      <c r="EHY224" s="1"/>
      <c r="EHZ224" s="1"/>
      <c r="EIA224" s="1"/>
      <c r="EIB224" s="1"/>
      <c r="EIC224" s="1"/>
      <c r="EID224" s="1"/>
      <c r="EIE224" s="1"/>
      <c r="EIF224" s="1"/>
      <c r="EIG224" s="1"/>
      <c r="EIH224" s="1"/>
      <c r="EII224" s="1"/>
      <c r="EIJ224" s="1"/>
      <c r="EIK224" s="1"/>
      <c r="EIL224" s="1"/>
      <c r="EIM224" s="1"/>
      <c r="EIN224" s="1"/>
      <c r="EIO224" s="1"/>
      <c r="EIP224" s="1"/>
      <c r="EIQ224" s="1"/>
      <c r="EIR224" s="1"/>
      <c r="EIS224" s="1"/>
      <c r="EIT224" s="1"/>
      <c r="EIU224" s="1"/>
      <c r="EIV224" s="1"/>
      <c r="EIW224" s="1"/>
      <c r="EIX224" s="1"/>
      <c r="EIY224" s="1"/>
      <c r="EIZ224" s="1"/>
      <c r="EJA224" s="1"/>
      <c r="EJB224" s="1"/>
      <c r="EJC224" s="1"/>
      <c r="EJD224" s="1"/>
      <c r="EJE224" s="1"/>
      <c r="EJF224" s="1"/>
      <c r="EJG224" s="1"/>
      <c r="EJH224" s="1"/>
      <c r="EJI224" s="1"/>
      <c r="EJJ224" s="1"/>
      <c r="EJK224" s="1"/>
      <c r="EJL224" s="1"/>
      <c r="EJM224" s="1"/>
      <c r="EJN224" s="1"/>
      <c r="EJO224" s="1"/>
      <c r="EJP224" s="1"/>
      <c r="EJQ224" s="1"/>
      <c r="EJR224" s="1"/>
      <c r="EJS224" s="1"/>
      <c r="EJT224" s="1"/>
      <c r="EJU224" s="1"/>
      <c r="EJV224" s="1"/>
      <c r="EJW224" s="1"/>
      <c r="EJX224" s="1"/>
      <c r="EJY224" s="1"/>
      <c r="EJZ224" s="1"/>
      <c r="EKA224" s="1"/>
      <c r="EKB224" s="1"/>
      <c r="EKC224" s="1"/>
      <c r="EKD224" s="1"/>
      <c r="EKE224" s="1"/>
      <c r="EKF224" s="1"/>
      <c r="EKG224" s="1"/>
      <c r="EKH224" s="1"/>
      <c r="EKI224" s="1"/>
      <c r="EKJ224" s="1"/>
      <c r="EKK224" s="1"/>
      <c r="EKL224" s="1"/>
      <c r="EKM224" s="1"/>
      <c r="EKN224" s="1"/>
      <c r="EKO224" s="1"/>
      <c r="EKP224" s="1"/>
      <c r="EKQ224" s="1"/>
      <c r="EKR224" s="1"/>
      <c r="EKS224" s="1"/>
      <c r="EKT224" s="1"/>
      <c r="EKU224" s="1"/>
      <c r="EKV224" s="1"/>
      <c r="EKW224" s="1"/>
      <c r="EKX224" s="1"/>
      <c r="EKY224" s="1"/>
      <c r="EKZ224" s="1"/>
      <c r="ELA224" s="1"/>
      <c r="ELB224" s="1"/>
      <c r="ELC224" s="1"/>
      <c r="ELD224" s="1"/>
      <c r="ELE224" s="1"/>
      <c r="ELF224" s="1"/>
      <c r="ELG224" s="1"/>
      <c r="ELH224" s="1"/>
      <c r="ELI224" s="1"/>
      <c r="ELJ224" s="1"/>
      <c r="ELK224" s="1"/>
      <c r="ELL224" s="1"/>
      <c r="ELM224" s="1"/>
      <c r="ELN224" s="1"/>
      <c r="ELO224" s="1"/>
      <c r="ELP224" s="1"/>
      <c r="ELQ224" s="1"/>
      <c r="ELR224" s="1"/>
      <c r="ELS224" s="1"/>
      <c r="ELT224" s="1"/>
      <c r="ELU224" s="1"/>
      <c r="ELV224" s="1"/>
      <c r="ELW224" s="1"/>
      <c r="ELX224" s="1"/>
      <c r="ELY224" s="1"/>
      <c r="ELZ224" s="1"/>
      <c r="EMA224" s="1"/>
      <c r="EMB224" s="1"/>
      <c r="EMC224" s="1"/>
      <c r="EMD224" s="1"/>
      <c r="EME224" s="1"/>
      <c r="EMF224" s="1"/>
      <c r="EMG224" s="1"/>
      <c r="EMH224" s="1"/>
      <c r="EMI224" s="1"/>
      <c r="EMJ224" s="1"/>
      <c r="EMK224" s="1"/>
      <c r="EML224" s="1"/>
      <c r="EMM224" s="1"/>
      <c r="EMN224" s="1"/>
      <c r="EMO224" s="1"/>
      <c r="EMP224" s="1"/>
      <c r="EMQ224" s="1"/>
      <c r="EMR224" s="1"/>
      <c r="EMS224" s="1"/>
      <c r="EMT224" s="1"/>
      <c r="EMU224" s="1"/>
      <c r="EMV224" s="1"/>
      <c r="EMW224" s="1"/>
      <c r="EMX224" s="1"/>
      <c r="EMY224" s="1"/>
      <c r="EMZ224" s="1"/>
      <c r="ENA224" s="1"/>
      <c r="ENB224" s="1"/>
      <c r="ENC224" s="1"/>
      <c r="END224" s="1"/>
      <c r="ENE224" s="1"/>
      <c r="ENF224" s="1"/>
      <c r="ENG224" s="1"/>
      <c r="ENH224" s="1"/>
      <c r="ENI224" s="1"/>
      <c r="ENJ224" s="1"/>
      <c r="ENK224" s="1"/>
      <c r="ENL224" s="1"/>
      <c r="ENM224" s="1"/>
      <c r="ENN224" s="1"/>
      <c r="ENO224" s="1"/>
      <c r="ENP224" s="1"/>
      <c r="ENQ224" s="1"/>
      <c r="ENR224" s="1"/>
      <c r="ENS224" s="1"/>
      <c r="ENT224" s="1"/>
      <c r="ENU224" s="1"/>
      <c r="ENV224" s="1"/>
      <c r="ENW224" s="1"/>
      <c r="ENX224" s="1"/>
      <c r="ENY224" s="1"/>
      <c r="ENZ224" s="1"/>
      <c r="EOA224" s="1"/>
      <c r="EOB224" s="1"/>
      <c r="EOC224" s="1"/>
      <c r="EOD224" s="1"/>
      <c r="EOE224" s="1"/>
      <c r="EOF224" s="1"/>
      <c r="EOG224" s="1"/>
      <c r="EOH224" s="1"/>
      <c r="EOI224" s="1"/>
      <c r="EOJ224" s="1"/>
      <c r="EOK224" s="1"/>
      <c r="EOL224" s="1"/>
      <c r="EOM224" s="1"/>
      <c r="EON224" s="1"/>
      <c r="EOO224" s="1"/>
      <c r="EOP224" s="1"/>
      <c r="EOQ224" s="1"/>
      <c r="EOR224" s="1"/>
      <c r="EOS224" s="1"/>
      <c r="EOT224" s="1"/>
      <c r="EOU224" s="1"/>
      <c r="EOV224" s="1"/>
      <c r="EOW224" s="1"/>
      <c r="EOX224" s="1"/>
      <c r="EOY224" s="1"/>
      <c r="EOZ224" s="1"/>
      <c r="EPA224" s="1"/>
      <c r="EPB224" s="1"/>
      <c r="EPC224" s="1"/>
      <c r="EPD224" s="1"/>
      <c r="EPE224" s="1"/>
      <c r="EPF224" s="1"/>
      <c r="EPG224" s="1"/>
      <c r="EPH224" s="1"/>
      <c r="EPI224" s="1"/>
      <c r="EPJ224" s="1"/>
      <c r="EPK224" s="1"/>
      <c r="EPL224" s="1"/>
      <c r="EPM224" s="1"/>
      <c r="EPN224" s="1"/>
      <c r="EPO224" s="1"/>
      <c r="EPP224" s="1"/>
      <c r="EPQ224" s="1"/>
      <c r="EPR224" s="1"/>
      <c r="EPS224" s="1"/>
      <c r="EPT224" s="1"/>
      <c r="EPU224" s="1"/>
      <c r="EPV224" s="1"/>
      <c r="EPW224" s="1"/>
      <c r="EPX224" s="1"/>
      <c r="EPY224" s="1"/>
      <c r="EPZ224" s="1"/>
      <c r="EQA224" s="1"/>
      <c r="EQB224" s="1"/>
      <c r="EQC224" s="1"/>
      <c r="EQD224" s="1"/>
      <c r="EQE224" s="1"/>
      <c r="EQF224" s="1"/>
      <c r="EQG224" s="1"/>
      <c r="EQH224" s="1"/>
      <c r="EQI224" s="1"/>
      <c r="EQJ224" s="1"/>
      <c r="EQK224" s="1"/>
      <c r="EQL224" s="1"/>
      <c r="EQM224" s="1"/>
      <c r="EQN224" s="1"/>
      <c r="EQO224" s="1"/>
      <c r="EQP224" s="1"/>
      <c r="EQQ224" s="1"/>
      <c r="EQR224" s="1"/>
      <c r="EQS224" s="1"/>
      <c r="EQT224" s="1"/>
      <c r="EQU224" s="1"/>
      <c r="EQV224" s="1"/>
      <c r="EQW224" s="1"/>
      <c r="EQX224" s="1"/>
      <c r="EQY224" s="1"/>
      <c r="EQZ224" s="1"/>
      <c r="ERA224" s="1"/>
      <c r="ERB224" s="1"/>
      <c r="ERC224" s="1"/>
      <c r="ERD224" s="1"/>
      <c r="ERE224" s="1"/>
      <c r="ERF224" s="1"/>
      <c r="ERG224" s="1"/>
      <c r="ERH224" s="1"/>
      <c r="ERI224" s="1"/>
      <c r="ERJ224" s="1"/>
      <c r="ERK224" s="1"/>
      <c r="ERL224" s="1"/>
      <c r="ERM224" s="1"/>
      <c r="ERN224" s="1"/>
      <c r="ERO224" s="1"/>
      <c r="ERP224" s="1"/>
      <c r="ERQ224" s="1"/>
      <c r="ERR224" s="1"/>
      <c r="ERS224" s="1"/>
      <c r="ERT224" s="1"/>
      <c r="ERU224" s="1"/>
      <c r="ERV224" s="1"/>
      <c r="ERW224" s="1"/>
      <c r="ERX224" s="1"/>
      <c r="ERY224" s="1"/>
      <c r="ERZ224" s="1"/>
      <c r="ESA224" s="1"/>
      <c r="ESB224" s="1"/>
      <c r="ESC224" s="1"/>
      <c r="ESD224" s="1"/>
      <c r="ESE224" s="1"/>
      <c r="ESF224" s="1"/>
      <c r="ESG224" s="1"/>
      <c r="ESH224" s="1"/>
      <c r="ESI224" s="1"/>
      <c r="ESJ224" s="1"/>
      <c r="ESK224" s="1"/>
      <c r="ESL224" s="1"/>
      <c r="ESM224" s="1"/>
      <c r="ESN224" s="1"/>
      <c r="ESO224" s="1"/>
      <c r="ESP224" s="1"/>
      <c r="ESQ224" s="1"/>
      <c r="ESR224" s="1"/>
      <c r="ESS224" s="1"/>
      <c r="EST224" s="1"/>
      <c r="ESU224" s="1"/>
      <c r="ESV224" s="1"/>
      <c r="ESW224" s="1"/>
      <c r="ESX224" s="1"/>
      <c r="ESY224" s="1"/>
      <c r="ESZ224" s="1"/>
      <c r="ETA224" s="1"/>
      <c r="ETB224" s="1"/>
      <c r="ETC224" s="1"/>
      <c r="ETD224" s="1"/>
      <c r="ETE224" s="1"/>
      <c r="ETF224" s="1"/>
      <c r="ETG224" s="1"/>
      <c r="ETH224" s="1"/>
      <c r="ETI224" s="1"/>
      <c r="ETJ224" s="1"/>
      <c r="ETK224" s="1"/>
      <c r="ETL224" s="1"/>
      <c r="ETM224" s="1"/>
      <c r="ETN224" s="1"/>
      <c r="ETO224" s="1"/>
      <c r="ETP224" s="1"/>
      <c r="ETQ224" s="1"/>
      <c r="ETR224" s="1"/>
      <c r="ETS224" s="1"/>
      <c r="ETT224" s="1"/>
      <c r="ETU224" s="1"/>
      <c r="ETV224" s="1"/>
      <c r="ETW224" s="1"/>
      <c r="ETX224" s="1"/>
      <c r="ETY224" s="1"/>
      <c r="ETZ224" s="1"/>
      <c r="EUA224" s="1"/>
      <c r="EUB224" s="1"/>
      <c r="EUC224" s="1"/>
      <c r="EUD224" s="1"/>
      <c r="EUE224" s="1"/>
      <c r="EUF224" s="1"/>
      <c r="EUG224" s="1"/>
      <c r="EUH224" s="1"/>
      <c r="EUI224" s="1"/>
      <c r="EUJ224" s="1"/>
      <c r="EUK224" s="1"/>
      <c r="EUL224" s="1"/>
      <c r="EUM224" s="1"/>
      <c r="EUN224" s="1"/>
      <c r="EUO224" s="1"/>
      <c r="EUP224" s="1"/>
      <c r="EUQ224" s="1"/>
      <c r="EUR224" s="1"/>
      <c r="EUS224" s="1"/>
      <c r="EUT224" s="1"/>
      <c r="EUU224" s="1"/>
      <c r="EUV224" s="1"/>
      <c r="EUW224" s="1"/>
      <c r="EUX224" s="1"/>
      <c r="EUY224" s="1"/>
      <c r="EUZ224" s="1"/>
      <c r="EVA224" s="1"/>
      <c r="EVB224" s="1"/>
      <c r="EVC224" s="1"/>
      <c r="EVD224" s="1"/>
      <c r="EVE224" s="1"/>
      <c r="EVF224" s="1"/>
      <c r="EVG224" s="1"/>
      <c r="EVH224" s="1"/>
      <c r="EVI224" s="1"/>
      <c r="EVJ224" s="1"/>
      <c r="EVK224" s="1"/>
      <c r="EVL224" s="1"/>
      <c r="EVM224" s="1"/>
      <c r="EVN224" s="1"/>
      <c r="EVO224" s="1"/>
      <c r="EVP224" s="1"/>
      <c r="EVQ224" s="1"/>
      <c r="EVR224" s="1"/>
      <c r="EVS224" s="1"/>
      <c r="EVT224" s="1"/>
      <c r="EVU224" s="1"/>
      <c r="EVV224" s="1"/>
      <c r="EVW224" s="1"/>
      <c r="EVX224" s="1"/>
      <c r="EVY224" s="1"/>
      <c r="EVZ224" s="1"/>
      <c r="EWA224" s="1"/>
      <c r="EWB224" s="1"/>
      <c r="EWC224" s="1"/>
      <c r="EWD224" s="1"/>
      <c r="EWE224" s="1"/>
      <c r="EWF224" s="1"/>
      <c r="EWG224" s="1"/>
      <c r="EWH224" s="1"/>
      <c r="EWI224" s="1"/>
      <c r="EWJ224" s="1"/>
      <c r="EWK224" s="1"/>
      <c r="EWL224" s="1"/>
      <c r="EWM224" s="1"/>
      <c r="EWN224" s="1"/>
      <c r="EWO224" s="1"/>
      <c r="EWP224" s="1"/>
      <c r="EWQ224" s="1"/>
      <c r="EWR224" s="1"/>
      <c r="EWS224" s="1"/>
      <c r="EWT224" s="1"/>
      <c r="EWU224" s="1"/>
      <c r="EWV224" s="1"/>
      <c r="EWW224" s="1"/>
      <c r="EWX224" s="1"/>
      <c r="EWY224" s="1"/>
      <c r="EWZ224" s="1"/>
      <c r="EXA224" s="1"/>
      <c r="EXB224" s="1"/>
      <c r="EXC224" s="1"/>
      <c r="EXD224" s="1"/>
      <c r="EXE224" s="1"/>
      <c r="EXF224" s="1"/>
      <c r="EXG224" s="1"/>
      <c r="EXH224" s="1"/>
      <c r="EXI224" s="1"/>
      <c r="EXJ224" s="1"/>
      <c r="EXK224" s="1"/>
      <c r="EXL224" s="1"/>
      <c r="EXM224" s="1"/>
      <c r="EXN224" s="1"/>
      <c r="EXO224" s="1"/>
      <c r="EXP224" s="1"/>
      <c r="EXQ224" s="1"/>
      <c r="EXR224" s="1"/>
      <c r="EXS224" s="1"/>
      <c r="EXT224" s="1"/>
      <c r="EXU224" s="1"/>
      <c r="EXV224" s="1"/>
      <c r="EXW224" s="1"/>
      <c r="EXX224" s="1"/>
      <c r="EXY224" s="1"/>
      <c r="EXZ224" s="1"/>
      <c r="EYA224" s="1"/>
      <c r="EYB224" s="1"/>
      <c r="EYC224" s="1"/>
      <c r="EYD224" s="1"/>
      <c r="EYE224" s="1"/>
      <c r="EYF224" s="1"/>
      <c r="EYG224" s="1"/>
      <c r="EYH224" s="1"/>
      <c r="EYI224" s="1"/>
      <c r="EYJ224" s="1"/>
      <c r="EYK224" s="1"/>
      <c r="EYL224" s="1"/>
      <c r="EYM224" s="1"/>
      <c r="EYN224" s="1"/>
      <c r="EYO224" s="1"/>
      <c r="EYP224" s="1"/>
      <c r="EYQ224" s="1"/>
      <c r="EYR224" s="1"/>
      <c r="EYS224" s="1"/>
      <c r="EYT224" s="1"/>
      <c r="EYU224" s="1"/>
      <c r="EYV224" s="1"/>
      <c r="EYW224" s="1"/>
      <c r="EYX224" s="1"/>
      <c r="EYY224" s="1"/>
      <c r="EYZ224" s="1"/>
      <c r="EZA224" s="1"/>
      <c r="EZB224" s="1"/>
      <c r="EZC224" s="1"/>
      <c r="EZD224" s="1"/>
      <c r="EZE224" s="1"/>
      <c r="EZF224" s="1"/>
      <c r="EZG224" s="1"/>
      <c r="EZH224" s="1"/>
      <c r="EZI224" s="1"/>
      <c r="EZJ224" s="1"/>
      <c r="EZK224" s="1"/>
      <c r="EZL224" s="1"/>
      <c r="EZM224" s="1"/>
      <c r="EZN224" s="1"/>
      <c r="EZO224" s="1"/>
      <c r="EZP224" s="1"/>
      <c r="EZQ224" s="1"/>
      <c r="EZR224" s="1"/>
      <c r="EZS224" s="1"/>
      <c r="EZT224" s="1"/>
      <c r="EZU224" s="1"/>
      <c r="EZV224" s="1"/>
      <c r="EZW224" s="1"/>
      <c r="EZX224" s="1"/>
      <c r="EZY224" s="1"/>
      <c r="EZZ224" s="1"/>
      <c r="FAA224" s="1"/>
      <c r="FAB224" s="1"/>
      <c r="FAC224" s="1"/>
      <c r="FAD224" s="1"/>
      <c r="FAE224" s="1"/>
      <c r="FAF224" s="1"/>
      <c r="FAG224" s="1"/>
      <c r="FAH224" s="1"/>
      <c r="FAI224" s="1"/>
      <c r="FAJ224" s="1"/>
      <c r="FAK224" s="1"/>
      <c r="FAL224" s="1"/>
      <c r="FAM224" s="1"/>
      <c r="FAN224" s="1"/>
      <c r="FAO224" s="1"/>
      <c r="FAP224" s="1"/>
      <c r="FAQ224" s="1"/>
      <c r="FAR224" s="1"/>
      <c r="FAS224" s="1"/>
      <c r="FAT224" s="1"/>
      <c r="FAU224" s="1"/>
      <c r="FAV224" s="1"/>
      <c r="FAW224" s="1"/>
      <c r="FAX224" s="1"/>
      <c r="FAY224" s="1"/>
      <c r="FAZ224" s="1"/>
      <c r="FBA224" s="1"/>
      <c r="FBB224" s="1"/>
      <c r="FBC224" s="1"/>
      <c r="FBD224" s="1"/>
      <c r="FBE224" s="1"/>
      <c r="FBF224" s="1"/>
      <c r="FBG224" s="1"/>
      <c r="FBH224" s="1"/>
      <c r="FBI224" s="1"/>
      <c r="FBJ224" s="1"/>
      <c r="FBK224" s="1"/>
      <c r="FBL224" s="1"/>
      <c r="FBM224" s="1"/>
      <c r="FBN224" s="1"/>
      <c r="FBO224" s="1"/>
      <c r="FBP224" s="1"/>
      <c r="FBQ224" s="1"/>
      <c r="FBR224" s="1"/>
      <c r="FBS224" s="1"/>
      <c r="FBT224" s="1"/>
      <c r="FBU224" s="1"/>
      <c r="FBV224" s="1"/>
      <c r="FBW224" s="1"/>
      <c r="FBX224" s="1"/>
      <c r="FBY224" s="1"/>
      <c r="FBZ224" s="1"/>
      <c r="FCA224" s="1"/>
      <c r="FCB224" s="1"/>
      <c r="FCC224" s="1"/>
      <c r="FCD224" s="1"/>
      <c r="FCE224" s="1"/>
      <c r="FCF224" s="1"/>
      <c r="FCG224" s="1"/>
      <c r="FCH224" s="1"/>
      <c r="FCI224" s="1"/>
      <c r="FCJ224" s="1"/>
      <c r="FCK224" s="1"/>
      <c r="FCL224" s="1"/>
      <c r="FCM224" s="1"/>
      <c r="FCN224" s="1"/>
      <c r="FCO224" s="1"/>
      <c r="FCP224" s="1"/>
      <c r="FCQ224" s="1"/>
      <c r="FCR224" s="1"/>
      <c r="FCS224" s="1"/>
      <c r="FCT224" s="1"/>
      <c r="FCU224" s="1"/>
      <c r="FCV224" s="1"/>
      <c r="FCW224" s="1"/>
      <c r="FCX224" s="1"/>
      <c r="FCY224" s="1"/>
      <c r="FCZ224" s="1"/>
      <c r="FDA224" s="1"/>
      <c r="FDB224" s="1"/>
      <c r="FDC224" s="1"/>
      <c r="FDD224" s="1"/>
      <c r="FDE224" s="1"/>
      <c r="FDF224" s="1"/>
      <c r="FDG224" s="1"/>
      <c r="FDH224" s="1"/>
      <c r="FDI224" s="1"/>
      <c r="FDJ224" s="1"/>
      <c r="FDK224" s="1"/>
      <c r="FDL224" s="1"/>
      <c r="FDM224" s="1"/>
      <c r="FDN224" s="1"/>
      <c r="FDO224" s="1"/>
      <c r="FDP224" s="1"/>
      <c r="FDQ224" s="1"/>
      <c r="FDR224" s="1"/>
      <c r="FDS224" s="1"/>
      <c r="FDT224" s="1"/>
      <c r="FDU224" s="1"/>
      <c r="FDV224" s="1"/>
      <c r="FDW224" s="1"/>
      <c r="FDX224" s="1"/>
      <c r="FDY224" s="1"/>
      <c r="FDZ224" s="1"/>
      <c r="FEA224" s="1"/>
      <c r="FEB224" s="1"/>
      <c r="FEC224" s="1"/>
      <c r="FED224" s="1"/>
      <c r="FEE224" s="1"/>
      <c r="FEF224" s="1"/>
      <c r="FEG224" s="1"/>
      <c r="FEH224" s="1"/>
      <c r="FEI224" s="1"/>
      <c r="FEJ224" s="1"/>
      <c r="FEK224" s="1"/>
      <c r="FEL224" s="1"/>
      <c r="FEM224" s="1"/>
      <c r="FEN224" s="1"/>
      <c r="FEO224" s="1"/>
      <c r="FEP224" s="1"/>
      <c r="FEQ224" s="1"/>
      <c r="FER224" s="1"/>
      <c r="FES224" s="1"/>
      <c r="FET224" s="1"/>
      <c r="FEU224" s="1"/>
      <c r="FEV224" s="1"/>
      <c r="FEW224" s="1"/>
      <c r="FEX224" s="1"/>
      <c r="FEY224" s="1"/>
      <c r="FEZ224" s="1"/>
      <c r="FFA224" s="1"/>
      <c r="FFB224" s="1"/>
      <c r="FFC224" s="1"/>
      <c r="FFD224" s="1"/>
      <c r="FFE224" s="1"/>
      <c r="FFF224" s="1"/>
      <c r="FFG224" s="1"/>
      <c r="FFH224" s="1"/>
      <c r="FFI224" s="1"/>
      <c r="FFJ224" s="1"/>
      <c r="FFK224" s="1"/>
      <c r="FFL224" s="1"/>
      <c r="FFM224" s="1"/>
      <c r="FFN224" s="1"/>
      <c r="FFO224" s="1"/>
      <c r="FFP224" s="1"/>
      <c r="FFQ224" s="1"/>
      <c r="FFR224" s="1"/>
      <c r="FFS224" s="1"/>
      <c r="FFT224" s="1"/>
      <c r="FFU224" s="1"/>
      <c r="FFV224" s="1"/>
      <c r="FFW224" s="1"/>
      <c r="FFX224" s="1"/>
      <c r="FFY224" s="1"/>
      <c r="FFZ224" s="1"/>
      <c r="FGA224" s="1"/>
      <c r="FGB224" s="1"/>
      <c r="FGC224" s="1"/>
      <c r="FGD224" s="1"/>
      <c r="FGE224" s="1"/>
      <c r="FGF224" s="1"/>
      <c r="FGG224" s="1"/>
      <c r="FGH224" s="1"/>
      <c r="FGI224" s="1"/>
      <c r="FGJ224" s="1"/>
      <c r="FGK224" s="1"/>
      <c r="FGL224" s="1"/>
      <c r="FGM224" s="1"/>
      <c r="FGN224" s="1"/>
      <c r="FGO224" s="1"/>
      <c r="FGP224" s="1"/>
      <c r="FGQ224" s="1"/>
      <c r="FGR224" s="1"/>
      <c r="FGS224" s="1"/>
      <c r="FGT224" s="1"/>
      <c r="FGU224" s="1"/>
      <c r="FGV224" s="1"/>
      <c r="FGW224" s="1"/>
      <c r="FGX224" s="1"/>
      <c r="FGY224" s="1"/>
      <c r="FGZ224" s="1"/>
      <c r="FHA224" s="1"/>
      <c r="FHB224" s="1"/>
      <c r="FHC224" s="1"/>
      <c r="FHD224" s="1"/>
      <c r="FHE224" s="1"/>
      <c r="FHF224" s="1"/>
      <c r="FHG224" s="1"/>
      <c r="FHH224" s="1"/>
      <c r="FHI224" s="1"/>
      <c r="FHJ224" s="1"/>
      <c r="FHK224" s="1"/>
      <c r="FHL224" s="1"/>
      <c r="FHM224" s="1"/>
      <c r="FHN224" s="1"/>
      <c r="FHO224" s="1"/>
      <c r="FHP224" s="1"/>
      <c r="FHQ224" s="1"/>
      <c r="FHR224" s="1"/>
      <c r="FHS224" s="1"/>
      <c r="FHT224" s="1"/>
      <c r="FHU224" s="1"/>
      <c r="FHV224" s="1"/>
      <c r="FHW224" s="1"/>
      <c r="FHX224" s="1"/>
      <c r="FHY224" s="1"/>
      <c r="FHZ224" s="1"/>
      <c r="FIA224" s="1"/>
      <c r="FIB224" s="1"/>
      <c r="FIC224" s="1"/>
      <c r="FID224" s="1"/>
      <c r="FIE224" s="1"/>
      <c r="FIF224" s="1"/>
      <c r="FIG224" s="1"/>
      <c r="FIH224" s="1"/>
      <c r="FII224" s="1"/>
      <c r="FIJ224" s="1"/>
      <c r="FIK224" s="1"/>
      <c r="FIL224" s="1"/>
      <c r="FIM224" s="1"/>
      <c r="FIN224" s="1"/>
      <c r="FIO224" s="1"/>
      <c r="FIP224" s="1"/>
      <c r="FIQ224" s="1"/>
      <c r="FIR224" s="1"/>
      <c r="FIS224" s="1"/>
      <c r="FIT224" s="1"/>
      <c r="FIU224" s="1"/>
      <c r="FIV224" s="1"/>
      <c r="FIW224" s="1"/>
      <c r="FIX224" s="1"/>
      <c r="FIY224" s="1"/>
      <c r="FIZ224" s="1"/>
      <c r="FJA224" s="1"/>
      <c r="FJB224" s="1"/>
      <c r="FJC224" s="1"/>
      <c r="FJD224" s="1"/>
      <c r="FJE224" s="1"/>
      <c r="FJF224" s="1"/>
      <c r="FJG224" s="1"/>
      <c r="FJH224" s="1"/>
      <c r="FJI224" s="1"/>
      <c r="FJJ224" s="1"/>
      <c r="FJK224" s="1"/>
      <c r="FJL224" s="1"/>
      <c r="FJM224" s="1"/>
      <c r="FJN224" s="1"/>
      <c r="FJO224" s="1"/>
      <c r="FJP224" s="1"/>
      <c r="FJQ224" s="1"/>
      <c r="FJR224" s="1"/>
      <c r="FJS224" s="1"/>
      <c r="FJT224" s="1"/>
      <c r="FJU224" s="1"/>
      <c r="FJV224" s="1"/>
      <c r="FJW224" s="1"/>
      <c r="FJX224" s="1"/>
      <c r="FJY224" s="1"/>
      <c r="FJZ224" s="1"/>
      <c r="FKA224" s="1"/>
      <c r="FKB224" s="1"/>
      <c r="FKC224" s="1"/>
      <c r="FKD224" s="1"/>
      <c r="FKE224" s="1"/>
      <c r="FKF224" s="1"/>
      <c r="FKG224" s="1"/>
      <c r="FKH224" s="1"/>
      <c r="FKI224" s="1"/>
      <c r="FKJ224" s="1"/>
      <c r="FKK224" s="1"/>
      <c r="FKL224" s="1"/>
      <c r="FKM224" s="1"/>
      <c r="FKN224" s="1"/>
      <c r="FKO224" s="1"/>
      <c r="FKP224" s="1"/>
      <c r="FKQ224" s="1"/>
      <c r="FKR224" s="1"/>
      <c r="FKS224" s="1"/>
      <c r="FKT224" s="1"/>
      <c r="FKU224" s="1"/>
      <c r="FKV224" s="1"/>
      <c r="FKW224" s="1"/>
      <c r="FKX224" s="1"/>
      <c r="FKY224" s="1"/>
      <c r="FKZ224" s="1"/>
      <c r="FLA224" s="1"/>
      <c r="FLB224" s="1"/>
      <c r="FLC224" s="1"/>
      <c r="FLD224" s="1"/>
      <c r="FLE224" s="1"/>
      <c r="FLF224" s="1"/>
      <c r="FLG224" s="1"/>
      <c r="FLH224" s="1"/>
      <c r="FLI224" s="1"/>
      <c r="FLJ224" s="1"/>
      <c r="FLK224" s="1"/>
      <c r="FLL224" s="1"/>
      <c r="FLM224" s="1"/>
      <c r="FLN224" s="1"/>
      <c r="FLO224" s="1"/>
      <c r="FLP224" s="1"/>
      <c r="FLQ224" s="1"/>
      <c r="FLR224" s="1"/>
      <c r="FLS224" s="1"/>
      <c r="FLT224" s="1"/>
      <c r="FLU224" s="1"/>
      <c r="FLV224" s="1"/>
      <c r="FLW224" s="1"/>
      <c r="FLX224" s="1"/>
      <c r="FLY224" s="1"/>
      <c r="FLZ224" s="1"/>
      <c r="FMA224" s="1"/>
      <c r="FMB224" s="1"/>
      <c r="FMC224" s="1"/>
      <c r="FMD224" s="1"/>
      <c r="FME224" s="1"/>
      <c r="FMF224" s="1"/>
      <c r="FMG224" s="1"/>
      <c r="FMH224" s="1"/>
      <c r="FMI224" s="1"/>
      <c r="FMJ224" s="1"/>
      <c r="FMK224" s="1"/>
      <c r="FML224" s="1"/>
      <c r="FMM224" s="1"/>
      <c r="FMN224" s="1"/>
      <c r="FMO224" s="1"/>
      <c r="FMP224" s="1"/>
      <c r="FMQ224" s="1"/>
      <c r="FMR224" s="1"/>
      <c r="FMS224" s="1"/>
      <c r="FMT224" s="1"/>
      <c r="FMU224" s="1"/>
      <c r="FMV224" s="1"/>
      <c r="FMW224" s="1"/>
      <c r="FMX224" s="1"/>
      <c r="FMY224" s="1"/>
      <c r="FMZ224" s="1"/>
      <c r="FNA224" s="1"/>
      <c r="FNB224" s="1"/>
      <c r="FNC224" s="1"/>
      <c r="FND224" s="1"/>
      <c r="FNE224" s="1"/>
      <c r="FNF224" s="1"/>
      <c r="FNG224" s="1"/>
      <c r="FNH224" s="1"/>
      <c r="FNI224" s="1"/>
      <c r="FNJ224" s="1"/>
      <c r="FNK224" s="1"/>
      <c r="FNL224" s="1"/>
      <c r="FNM224" s="1"/>
      <c r="FNN224" s="1"/>
      <c r="FNO224" s="1"/>
      <c r="FNP224" s="1"/>
      <c r="FNQ224" s="1"/>
      <c r="FNR224" s="1"/>
      <c r="FNS224" s="1"/>
      <c r="FNT224" s="1"/>
      <c r="FNU224" s="1"/>
      <c r="FNV224" s="1"/>
      <c r="FNW224" s="1"/>
      <c r="FNX224" s="1"/>
      <c r="FNY224" s="1"/>
      <c r="FNZ224" s="1"/>
      <c r="FOA224" s="1"/>
      <c r="FOB224" s="1"/>
      <c r="FOC224" s="1"/>
      <c r="FOD224" s="1"/>
      <c r="FOE224" s="1"/>
      <c r="FOF224" s="1"/>
      <c r="FOG224" s="1"/>
      <c r="FOH224" s="1"/>
      <c r="FOI224" s="1"/>
      <c r="FOJ224" s="1"/>
      <c r="FOK224" s="1"/>
      <c r="FOL224" s="1"/>
      <c r="FOM224" s="1"/>
      <c r="FON224" s="1"/>
      <c r="FOO224" s="1"/>
      <c r="FOP224" s="1"/>
      <c r="FOQ224" s="1"/>
      <c r="FOR224" s="1"/>
      <c r="FOS224" s="1"/>
      <c r="FOT224" s="1"/>
      <c r="FOU224" s="1"/>
      <c r="FOV224" s="1"/>
      <c r="FOW224" s="1"/>
      <c r="FOX224" s="1"/>
      <c r="FOY224" s="1"/>
      <c r="FOZ224" s="1"/>
      <c r="FPA224" s="1"/>
      <c r="FPB224" s="1"/>
      <c r="FPC224" s="1"/>
      <c r="FPD224" s="1"/>
      <c r="FPE224" s="1"/>
      <c r="FPF224" s="1"/>
      <c r="FPG224" s="1"/>
      <c r="FPH224" s="1"/>
      <c r="FPI224" s="1"/>
      <c r="FPJ224" s="1"/>
      <c r="FPK224" s="1"/>
      <c r="FPL224" s="1"/>
      <c r="FPM224" s="1"/>
      <c r="FPN224" s="1"/>
      <c r="FPO224" s="1"/>
      <c r="FPP224" s="1"/>
      <c r="FPQ224" s="1"/>
      <c r="FPR224" s="1"/>
      <c r="FPS224" s="1"/>
      <c r="FPT224" s="1"/>
      <c r="FPU224" s="1"/>
      <c r="FPV224" s="1"/>
      <c r="FPW224" s="1"/>
      <c r="FPX224" s="1"/>
      <c r="FPY224" s="1"/>
      <c r="FPZ224" s="1"/>
      <c r="FQA224" s="1"/>
      <c r="FQB224" s="1"/>
      <c r="FQC224" s="1"/>
      <c r="FQD224" s="1"/>
      <c r="FQE224" s="1"/>
      <c r="FQF224" s="1"/>
      <c r="FQG224" s="1"/>
      <c r="FQH224" s="1"/>
      <c r="FQI224" s="1"/>
      <c r="FQJ224" s="1"/>
      <c r="FQK224" s="1"/>
      <c r="FQL224" s="1"/>
      <c r="FQM224" s="1"/>
      <c r="FQN224" s="1"/>
      <c r="FQO224" s="1"/>
      <c r="FQP224" s="1"/>
      <c r="FQQ224" s="1"/>
      <c r="FQR224" s="1"/>
      <c r="FQS224" s="1"/>
      <c r="FQT224" s="1"/>
      <c r="FQU224" s="1"/>
      <c r="FQV224" s="1"/>
      <c r="FQW224" s="1"/>
      <c r="FQX224" s="1"/>
      <c r="FQY224" s="1"/>
      <c r="FQZ224" s="1"/>
      <c r="FRA224" s="1"/>
      <c r="FRB224" s="1"/>
      <c r="FRC224" s="1"/>
      <c r="FRD224" s="1"/>
      <c r="FRE224" s="1"/>
      <c r="FRF224" s="1"/>
      <c r="FRG224" s="1"/>
      <c r="FRH224" s="1"/>
      <c r="FRI224" s="1"/>
      <c r="FRJ224" s="1"/>
      <c r="FRK224" s="1"/>
      <c r="FRL224" s="1"/>
      <c r="FRM224" s="1"/>
      <c r="FRN224" s="1"/>
      <c r="FRO224" s="1"/>
      <c r="FRP224" s="1"/>
      <c r="FRQ224" s="1"/>
      <c r="FRR224" s="1"/>
      <c r="FRS224" s="1"/>
      <c r="FRT224" s="1"/>
      <c r="FRU224" s="1"/>
      <c r="FRV224" s="1"/>
      <c r="FRW224" s="1"/>
      <c r="FRX224" s="1"/>
      <c r="FRY224" s="1"/>
      <c r="FRZ224" s="1"/>
      <c r="FSA224" s="1"/>
      <c r="FSB224" s="1"/>
      <c r="FSC224" s="1"/>
      <c r="FSD224" s="1"/>
      <c r="FSE224" s="1"/>
      <c r="FSF224" s="1"/>
      <c r="FSG224" s="1"/>
      <c r="FSH224" s="1"/>
      <c r="FSI224" s="1"/>
      <c r="FSJ224" s="1"/>
      <c r="FSK224" s="1"/>
      <c r="FSL224" s="1"/>
      <c r="FSM224" s="1"/>
      <c r="FSN224" s="1"/>
      <c r="FSO224" s="1"/>
      <c r="FSP224" s="1"/>
      <c r="FSQ224" s="1"/>
      <c r="FSR224" s="1"/>
      <c r="FSS224" s="1"/>
      <c r="FST224" s="1"/>
      <c r="FSU224" s="1"/>
      <c r="FSV224" s="1"/>
      <c r="FSW224" s="1"/>
      <c r="FSX224" s="1"/>
      <c r="FSY224" s="1"/>
      <c r="FSZ224" s="1"/>
      <c r="FTA224" s="1"/>
      <c r="FTB224" s="1"/>
      <c r="FTC224" s="1"/>
      <c r="FTD224" s="1"/>
      <c r="FTE224" s="1"/>
      <c r="FTF224" s="1"/>
      <c r="FTG224" s="1"/>
      <c r="FTH224" s="1"/>
      <c r="FTI224" s="1"/>
      <c r="FTJ224" s="1"/>
      <c r="FTK224" s="1"/>
      <c r="FTL224" s="1"/>
      <c r="FTM224" s="1"/>
      <c r="FTN224" s="1"/>
      <c r="FTO224" s="1"/>
      <c r="FTP224" s="1"/>
      <c r="FTQ224" s="1"/>
      <c r="FTR224" s="1"/>
      <c r="FTS224" s="1"/>
      <c r="FTT224" s="1"/>
      <c r="FTU224" s="1"/>
      <c r="FTV224" s="1"/>
      <c r="FTW224" s="1"/>
      <c r="FTX224" s="1"/>
      <c r="FTY224" s="1"/>
      <c r="FTZ224" s="1"/>
      <c r="FUA224" s="1"/>
      <c r="FUB224" s="1"/>
      <c r="FUC224" s="1"/>
      <c r="FUD224" s="1"/>
      <c r="FUE224" s="1"/>
      <c r="FUF224" s="1"/>
      <c r="FUG224" s="1"/>
      <c r="FUH224" s="1"/>
      <c r="FUI224" s="1"/>
      <c r="FUJ224" s="1"/>
      <c r="FUK224" s="1"/>
      <c r="FUL224" s="1"/>
      <c r="FUM224" s="1"/>
      <c r="FUN224" s="1"/>
      <c r="FUO224" s="1"/>
      <c r="FUP224" s="1"/>
      <c r="FUQ224" s="1"/>
      <c r="FUR224" s="1"/>
      <c r="FUS224" s="1"/>
      <c r="FUT224" s="1"/>
      <c r="FUU224" s="1"/>
      <c r="FUV224" s="1"/>
      <c r="FUW224" s="1"/>
      <c r="FUX224" s="1"/>
      <c r="FUY224" s="1"/>
      <c r="FUZ224" s="1"/>
      <c r="FVA224" s="1"/>
      <c r="FVB224" s="1"/>
      <c r="FVC224" s="1"/>
      <c r="FVD224" s="1"/>
      <c r="FVE224" s="1"/>
      <c r="FVF224" s="1"/>
      <c r="FVG224" s="1"/>
      <c r="FVH224" s="1"/>
      <c r="FVI224" s="1"/>
      <c r="FVJ224" s="1"/>
      <c r="FVK224" s="1"/>
      <c r="FVL224" s="1"/>
      <c r="FVM224" s="1"/>
      <c r="FVN224" s="1"/>
      <c r="FVO224" s="1"/>
      <c r="FVP224" s="1"/>
      <c r="FVQ224" s="1"/>
      <c r="FVR224" s="1"/>
      <c r="FVS224" s="1"/>
      <c r="FVT224" s="1"/>
      <c r="FVU224" s="1"/>
      <c r="FVV224" s="1"/>
      <c r="FVW224" s="1"/>
      <c r="FVX224" s="1"/>
      <c r="FVY224" s="1"/>
      <c r="FVZ224" s="1"/>
      <c r="FWA224" s="1"/>
      <c r="FWB224" s="1"/>
      <c r="FWC224" s="1"/>
      <c r="FWD224" s="1"/>
      <c r="FWE224" s="1"/>
      <c r="FWF224" s="1"/>
      <c r="FWG224" s="1"/>
      <c r="FWH224" s="1"/>
      <c r="FWI224" s="1"/>
      <c r="FWJ224" s="1"/>
      <c r="FWK224" s="1"/>
      <c r="FWL224" s="1"/>
      <c r="FWM224" s="1"/>
      <c r="FWN224" s="1"/>
      <c r="FWO224" s="1"/>
      <c r="FWP224" s="1"/>
      <c r="FWQ224" s="1"/>
      <c r="FWR224" s="1"/>
      <c r="FWS224" s="1"/>
      <c r="FWT224" s="1"/>
      <c r="FWU224" s="1"/>
      <c r="FWV224" s="1"/>
      <c r="FWW224" s="1"/>
      <c r="FWX224" s="1"/>
      <c r="FWY224" s="1"/>
      <c r="FWZ224" s="1"/>
      <c r="FXA224" s="1"/>
      <c r="FXB224" s="1"/>
      <c r="FXC224" s="1"/>
      <c r="FXD224" s="1"/>
      <c r="FXE224" s="1"/>
      <c r="FXF224" s="1"/>
      <c r="FXG224" s="1"/>
      <c r="FXH224" s="1"/>
      <c r="FXI224" s="1"/>
      <c r="FXJ224" s="1"/>
      <c r="FXK224" s="1"/>
      <c r="FXL224" s="1"/>
      <c r="FXM224" s="1"/>
      <c r="FXN224" s="1"/>
      <c r="FXO224" s="1"/>
      <c r="FXP224" s="1"/>
      <c r="FXQ224" s="1"/>
      <c r="FXR224" s="1"/>
      <c r="FXS224" s="1"/>
      <c r="FXT224" s="1"/>
      <c r="FXU224" s="1"/>
      <c r="FXV224" s="1"/>
      <c r="FXW224" s="1"/>
      <c r="FXX224" s="1"/>
      <c r="FXY224" s="1"/>
      <c r="FXZ224" s="1"/>
      <c r="FYA224" s="1"/>
      <c r="FYB224" s="1"/>
      <c r="FYC224" s="1"/>
      <c r="FYD224" s="1"/>
      <c r="FYE224" s="1"/>
      <c r="FYF224" s="1"/>
      <c r="FYG224" s="1"/>
      <c r="FYH224" s="1"/>
      <c r="FYI224" s="1"/>
      <c r="FYJ224" s="1"/>
      <c r="FYK224" s="1"/>
      <c r="FYL224" s="1"/>
      <c r="FYM224" s="1"/>
      <c r="FYN224" s="1"/>
      <c r="FYO224" s="1"/>
      <c r="FYP224" s="1"/>
      <c r="FYQ224" s="1"/>
      <c r="FYR224" s="1"/>
      <c r="FYS224" s="1"/>
      <c r="FYT224" s="1"/>
      <c r="FYU224" s="1"/>
      <c r="FYV224" s="1"/>
      <c r="FYW224" s="1"/>
      <c r="FYX224" s="1"/>
      <c r="FYY224" s="1"/>
      <c r="FYZ224" s="1"/>
      <c r="FZA224" s="1"/>
      <c r="FZB224" s="1"/>
      <c r="FZC224" s="1"/>
      <c r="FZD224" s="1"/>
      <c r="FZE224" s="1"/>
      <c r="FZF224" s="1"/>
      <c r="FZG224" s="1"/>
      <c r="FZH224" s="1"/>
      <c r="FZI224" s="1"/>
      <c r="FZJ224" s="1"/>
      <c r="FZK224" s="1"/>
      <c r="FZL224" s="1"/>
      <c r="FZM224" s="1"/>
      <c r="FZN224" s="1"/>
      <c r="FZO224" s="1"/>
      <c r="FZP224" s="1"/>
      <c r="FZQ224" s="1"/>
      <c r="FZR224" s="1"/>
      <c r="FZS224" s="1"/>
      <c r="FZT224" s="1"/>
      <c r="FZU224" s="1"/>
      <c r="FZV224" s="1"/>
      <c r="FZW224" s="1"/>
      <c r="FZX224" s="1"/>
      <c r="FZY224" s="1"/>
      <c r="FZZ224" s="1"/>
      <c r="GAA224" s="1"/>
      <c r="GAB224" s="1"/>
      <c r="GAC224" s="1"/>
      <c r="GAD224" s="1"/>
      <c r="GAE224" s="1"/>
      <c r="GAF224" s="1"/>
      <c r="GAG224" s="1"/>
      <c r="GAH224" s="1"/>
      <c r="GAI224" s="1"/>
      <c r="GAJ224" s="1"/>
      <c r="GAK224" s="1"/>
      <c r="GAL224" s="1"/>
      <c r="GAM224" s="1"/>
      <c r="GAN224" s="1"/>
      <c r="GAO224" s="1"/>
      <c r="GAP224" s="1"/>
      <c r="GAQ224" s="1"/>
      <c r="GAR224" s="1"/>
      <c r="GAS224" s="1"/>
      <c r="GAT224" s="1"/>
      <c r="GAU224" s="1"/>
      <c r="GAV224" s="1"/>
      <c r="GAW224" s="1"/>
      <c r="GAX224" s="1"/>
      <c r="GAY224" s="1"/>
      <c r="GAZ224" s="1"/>
      <c r="GBA224" s="1"/>
      <c r="GBB224" s="1"/>
      <c r="GBC224" s="1"/>
      <c r="GBD224" s="1"/>
      <c r="GBE224" s="1"/>
      <c r="GBF224" s="1"/>
      <c r="GBG224" s="1"/>
      <c r="GBH224" s="1"/>
      <c r="GBI224" s="1"/>
      <c r="GBJ224" s="1"/>
      <c r="GBK224" s="1"/>
      <c r="GBL224" s="1"/>
      <c r="GBM224" s="1"/>
      <c r="GBN224" s="1"/>
      <c r="GBO224" s="1"/>
      <c r="GBP224" s="1"/>
      <c r="GBQ224" s="1"/>
      <c r="GBR224" s="1"/>
      <c r="GBS224" s="1"/>
      <c r="GBT224" s="1"/>
      <c r="GBU224" s="1"/>
      <c r="GBV224" s="1"/>
      <c r="GBW224" s="1"/>
      <c r="GBX224" s="1"/>
      <c r="GBY224" s="1"/>
      <c r="GBZ224" s="1"/>
      <c r="GCA224" s="1"/>
      <c r="GCB224" s="1"/>
      <c r="GCC224" s="1"/>
      <c r="GCD224" s="1"/>
      <c r="GCE224" s="1"/>
      <c r="GCF224" s="1"/>
      <c r="GCG224" s="1"/>
      <c r="GCH224" s="1"/>
      <c r="GCI224" s="1"/>
      <c r="GCJ224" s="1"/>
      <c r="GCK224" s="1"/>
      <c r="GCL224" s="1"/>
      <c r="GCM224" s="1"/>
      <c r="GCN224" s="1"/>
      <c r="GCO224" s="1"/>
      <c r="GCP224" s="1"/>
      <c r="GCQ224" s="1"/>
      <c r="GCR224" s="1"/>
      <c r="GCS224" s="1"/>
      <c r="GCT224" s="1"/>
      <c r="GCU224" s="1"/>
      <c r="GCV224" s="1"/>
      <c r="GCW224" s="1"/>
      <c r="GCX224" s="1"/>
      <c r="GCY224" s="1"/>
      <c r="GCZ224" s="1"/>
      <c r="GDA224" s="1"/>
      <c r="GDB224" s="1"/>
      <c r="GDC224" s="1"/>
      <c r="GDD224" s="1"/>
      <c r="GDE224" s="1"/>
      <c r="GDF224" s="1"/>
      <c r="GDG224" s="1"/>
      <c r="GDH224" s="1"/>
      <c r="GDI224" s="1"/>
      <c r="GDJ224" s="1"/>
      <c r="GDK224" s="1"/>
      <c r="GDL224" s="1"/>
      <c r="GDM224" s="1"/>
      <c r="GDN224" s="1"/>
      <c r="GDO224" s="1"/>
      <c r="GDP224" s="1"/>
      <c r="GDQ224" s="1"/>
      <c r="GDR224" s="1"/>
      <c r="GDS224" s="1"/>
      <c r="GDT224" s="1"/>
      <c r="GDU224" s="1"/>
      <c r="GDV224" s="1"/>
      <c r="GDW224" s="1"/>
      <c r="GDX224" s="1"/>
      <c r="GDY224" s="1"/>
      <c r="GDZ224" s="1"/>
      <c r="GEA224" s="1"/>
      <c r="GEB224" s="1"/>
      <c r="GEC224" s="1"/>
      <c r="GED224" s="1"/>
      <c r="GEE224" s="1"/>
      <c r="GEF224" s="1"/>
      <c r="GEG224" s="1"/>
      <c r="GEH224" s="1"/>
      <c r="GEI224" s="1"/>
      <c r="GEJ224" s="1"/>
      <c r="GEK224" s="1"/>
      <c r="GEL224" s="1"/>
      <c r="GEM224" s="1"/>
      <c r="GEN224" s="1"/>
      <c r="GEO224" s="1"/>
      <c r="GEP224" s="1"/>
      <c r="GEQ224" s="1"/>
      <c r="GER224" s="1"/>
      <c r="GES224" s="1"/>
      <c r="GET224" s="1"/>
      <c r="GEU224" s="1"/>
      <c r="GEV224" s="1"/>
      <c r="GEW224" s="1"/>
      <c r="GEX224" s="1"/>
      <c r="GEY224" s="1"/>
      <c r="GEZ224" s="1"/>
      <c r="GFA224" s="1"/>
      <c r="GFB224" s="1"/>
      <c r="GFC224" s="1"/>
      <c r="GFD224" s="1"/>
      <c r="GFE224" s="1"/>
      <c r="GFF224" s="1"/>
      <c r="GFG224" s="1"/>
      <c r="GFH224" s="1"/>
      <c r="GFI224" s="1"/>
      <c r="GFJ224" s="1"/>
      <c r="GFK224" s="1"/>
      <c r="GFL224" s="1"/>
      <c r="GFM224" s="1"/>
      <c r="GFN224" s="1"/>
      <c r="GFO224" s="1"/>
      <c r="GFP224" s="1"/>
      <c r="GFQ224" s="1"/>
      <c r="GFR224" s="1"/>
      <c r="GFS224" s="1"/>
      <c r="GFT224" s="1"/>
      <c r="GFU224" s="1"/>
      <c r="GFV224" s="1"/>
      <c r="GFW224" s="1"/>
      <c r="GFX224" s="1"/>
      <c r="GFY224" s="1"/>
      <c r="GFZ224" s="1"/>
      <c r="GGA224" s="1"/>
      <c r="GGB224" s="1"/>
      <c r="GGC224" s="1"/>
      <c r="GGD224" s="1"/>
      <c r="GGE224" s="1"/>
      <c r="GGF224" s="1"/>
      <c r="GGG224" s="1"/>
      <c r="GGH224" s="1"/>
      <c r="GGI224" s="1"/>
      <c r="GGJ224" s="1"/>
      <c r="GGK224" s="1"/>
      <c r="GGL224" s="1"/>
      <c r="GGM224" s="1"/>
      <c r="GGN224" s="1"/>
      <c r="GGO224" s="1"/>
      <c r="GGP224" s="1"/>
      <c r="GGQ224" s="1"/>
      <c r="GGR224" s="1"/>
      <c r="GGS224" s="1"/>
      <c r="GGT224" s="1"/>
      <c r="GGU224" s="1"/>
      <c r="GGV224" s="1"/>
      <c r="GGW224" s="1"/>
      <c r="GGX224" s="1"/>
      <c r="GGY224" s="1"/>
      <c r="GGZ224" s="1"/>
      <c r="GHA224" s="1"/>
      <c r="GHB224" s="1"/>
      <c r="GHC224" s="1"/>
      <c r="GHD224" s="1"/>
      <c r="GHE224" s="1"/>
      <c r="GHF224" s="1"/>
      <c r="GHG224" s="1"/>
      <c r="GHH224" s="1"/>
      <c r="GHI224" s="1"/>
      <c r="GHJ224" s="1"/>
      <c r="GHK224" s="1"/>
      <c r="GHL224" s="1"/>
      <c r="GHM224" s="1"/>
      <c r="GHN224" s="1"/>
      <c r="GHO224" s="1"/>
      <c r="GHP224" s="1"/>
      <c r="GHQ224" s="1"/>
      <c r="GHR224" s="1"/>
      <c r="GHS224" s="1"/>
      <c r="GHT224" s="1"/>
      <c r="GHU224" s="1"/>
      <c r="GHV224" s="1"/>
      <c r="GHW224" s="1"/>
      <c r="GHX224" s="1"/>
      <c r="GHY224" s="1"/>
      <c r="GHZ224" s="1"/>
      <c r="GIA224" s="1"/>
      <c r="GIB224" s="1"/>
      <c r="GIC224" s="1"/>
      <c r="GID224" s="1"/>
      <c r="GIE224" s="1"/>
      <c r="GIF224" s="1"/>
      <c r="GIG224" s="1"/>
      <c r="GIH224" s="1"/>
      <c r="GII224" s="1"/>
      <c r="GIJ224" s="1"/>
      <c r="GIK224" s="1"/>
      <c r="GIL224" s="1"/>
      <c r="GIM224" s="1"/>
      <c r="GIN224" s="1"/>
      <c r="GIO224" s="1"/>
      <c r="GIP224" s="1"/>
      <c r="GIQ224" s="1"/>
      <c r="GIR224" s="1"/>
      <c r="GIS224" s="1"/>
      <c r="GIT224" s="1"/>
      <c r="GIU224" s="1"/>
      <c r="GIV224" s="1"/>
      <c r="GIW224" s="1"/>
      <c r="GIX224" s="1"/>
      <c r="GIY224" s="1"/>
      <c r="GIZ224" s="1"/>
      <c r="GJA224" s="1"/>
      <c r="GJB224" s="1"/>
      <c r="GJC224" s="1"/>
      <c r="GJD224" s="1"/>
      <c r="GJE224" s="1"/>
      <c r="GJF224" s="1"/>
      <c r="GJG224" s="1"/>
      <c r="GJH224" s="1"/>
      <c r="GJI224" s="1"/>
      <c r="GJJ224" s="1"/>
      <c r="GJK224" s="1"/>
      <c r="GJL224" s="1"/>
      <c r="GJM224" s="1"/>
      <c r="GJN224" s="1"/>
      <c r="GJO224" s="1"/>
      <c r="GJP224" s="1"/>
      <c r="GJQ224" s="1"/>
      <c r="GJR224" s="1"/>
      <c r="GJS224" s="1"/>
      <c r="GJT224" s="1"/>
      <c r="GJU224" s="1"/>
      <c r="GJV224" s="1"/>
      <c r="GJW224" s="1"/>
      <c r="GJX224" s="1"/>
      <c r="GJY224" s="1"/>
      <c r="GJZ224" s="1"/>
      <c r="GKA224" s="1"/>
      <c r="GKB224" s="1"/>
      <c r="GKC224" s="1"/>
      <c r="GKD224" s="1"/>
      <c r="GKE224" s="1"/>
      <c r="GKF224" s="1"/>
      <c r="GKG224" s="1"/>
      <c r="GKH224" s="1"/>
      <c r="GKI224" s="1"/>
      <c r="GKJ224" s="1"/>
      <c r="GKK224" s="1"/>
      <c r="GKL224" s="1"/>
      <c r="GKM224" s="1"/>
      <c r="GKN224" s="1"/>
      <c r="GKO224" s="1"/>
      <c r="GKP224" s="1"/>
      <c r="GKQ224" s="1"/>
      <c r="GKR224" s="1"/>
      <c r="GKS224" s="1"/>
      <c r="GKT224" s="1"/>
      <c r="GKU224" s="1"/>
      <c r="GKV224" s="1"/>
      <c r="GKW224" s="1"/>
      <c r="GKX224" s="1"/>
      <c r="GKY224" s="1"/>
      <c r="GKZ224" s="1"/>
      <c r="GLA224" s="1"/>
      <c r="GLB224" s="1"/>
      <c r="GLC224" s="1"/>
      <c r="GLD224" s="1"/>
      <c r="GLE224" s="1"/>
      <c r="GLF224" s="1"/>
      <c r="GLG224" s="1"/>
      <c r="GLH224" s="1"/>
      <c r="GLI224" s="1"/>
      <c r="GLJ224" s="1"/>
      <c r="GLK224" s="1"/>
      <c r="GLL224" s="1"/>
      <c r="GLM224" s="1"/>
      <c r="GLN224" s="1"/>
      <c r="GLO224" s="1"/>
      <c r="GLP224" s="1"/>
      <c r="GLQ224" s="1"/>
      <c r="GLR224" s="1"/>
      <c r="GLS224" s="1"/>
      <c r="GLT224" s="1"/>
      <c r="GLU224" s="1"/>
      <c r="GLV224" s="1"/>
      <c r="GLW224" s="1"/>
      <c r="GLX224" s="1"/>
      <c r="GLY224" s="1"/>
      <c r="GLZ224" s="1"/>
      <c r="GMA224" s="1"/>
      <c r="GMB224" s="1"/>
      <c r="GMC224" s="1"/>
      <c r="GMD224" s="1"/>
      <c r="GME224" s="1"/>
      <c r="GMF224" s="1"/>
      <c r="GMG224" s="1"/>
      <c r="GMH224" s="1"/>
      <c r="GMI224" s="1"/>
      <c r="GMJ224" s="1"/>
      <c r="GMK224" s="1"/>
      <c r="GML224" s="1"/>
      <c r="GMM224" s="1"/>
      <c r="GMN224" s="1"/>
      <c r="GMO224" s="1"/>
      <c r="GMP224" s="1"/>
      <c r="GMQ224" s="1"/>
      <c r="GMR224" s="1"/>
      <c r="GMS224" s="1"/>
      <c r="GMT224" s="1"/>
      <c r="GMU224" s="1"/>
      <c r="GMV224" s="1"/>
      <c r="GMW224" s="1"/>
      <c r="GMX224" s="1"/>
      <c r="GMY224" s="1"/>
      <c r="GMZ224" s="1"/>
      <c r="GNA224" s="1"/>
      <c r="GNB224" s="1"/>
      <c r="GNC224" s="1"/>
      <c r="GND224" s="1"/>
      <c r="GNE224" s="1"/>
      <c r="GNF224" s="1"/>
      <c r="GNG224" s="1"/>
      <c r="GNH224" s="1"/>
      <c r="GNI224" s="1"/>
      <c r="GNJ224" s="1"/>
      <c r="GNK224" s="1"/>
      <c r="GNL224" s="1"/>
      <c r="GNM224" s="1"/>
      <c r="GNN224" s="1"/>
      <c r="GNO224" s="1"/>
      <c r="GNP224" s="1"/>
      <c r="GNQ224" s="1"/>
      <c r="GNR224" s="1"/>
      <c r="GNS224" s="1"/>
      <c r="GNT224" s="1"/>
      <c r="GNU224" s="1"/>
      <c r="GNV224" s="1"/>
      <c r="GNW224" s="1"/>
      <c r="GNX224" s="1"/>
      <c r="GNY224" s="1"/>
      <c r="GNZ224" s="1"/>
      <c r="GOA224" s="1"/>
      <c r="GOB224" s="1"/>
      <c r="GOC224" s="1"/>
      <c r="GOD224" s="1"/>
      <c r="GOE224" s="1"/>
      <c r="GOF224" s="1"/>
      <c r="GOG224" s="1"/>
      <c r="GOH224" s="1"/>
      <c r="GOI224" s="1"/>
      <c r="GOJ224" s="1"/>
      <c r="GOK224" s="1"/>
      <c r="GOL224" s="1"/>
      <c r="GOM224" s="1"/>
      <c r="GON224" s="1"/>
      <c r="GOO224" s="1"/>
      <c r="GOP224" s="1"/>
      <c r="GOQ224" s="1"/>
      <c r="GOR224" s="1"/>
      <c r="GOS224" s="1"/>
      <c r="GOT224" s="1"/>
      <c r="GOU224" s="1"/>
      <c r="GOV224" s="1"/>
      <c r="GOW224" s="1"/>
      <c r="GOX224" s="1"/>
      <c r="GOY224" s="1"/>
      <c r="GOZ224" s="1"/>
      <c r="GPA224" s="1"/>
      <c r="GPB224" s="1"/>
      <c r="GPC224" s="1"/>
      <c r="GPD224" s="1"/>
      <c r="GPE224" s="1"/>
      <c r="GPF224" s="1"/>
      <c r="GPG224" s="1"/>
      <c r="GPH224" s="1"/>
      <c r="GPI224" s="1"/>
      <c r="GPJ224" s="1"/>
      <c r="GPK224" s="1"/>
      <c r="GPL224" s="1"/>
      <c r="GPM224" s="1"/>
      <c r="GPN224" s="1"/>
      <c r="GPO224" s="1"/>
      <c r="GPP224" s="1"/>
      <c r="GPQ224" s="1"/>
      <c r="GPR224" s="1"/>
      <c r="GPS224" s="1"/>
      <c r="GPT224" s="1"/>
      <c r="GPU224" s="1"/>
      <c r="GPV224" s="1"/>
      <c r="GPW224" s="1"/>
      <c r="GPX224" s="1"/>
      <c r="GPY224" s="1"/>
      <c r="GPZ224" s="1"/>
      <c r="GQA224" s="1"/>
      <c r="GQB224" s="1"/>
      <c r="GQC224" s="1"/>
      <c r="GQD224" s="1"/>
      <c r="GQE224" s="1"/>
      <c r="GQF224" s="1"/>
      <c r="GQG224" s="1"/>
      <c r="GQH224" s="1"/>
      <c r="GQI224" s="1"/>
      <c r="GQJ224" s="1"/>
      <c r="GQK224" s="1"/>
      <c r="GQL224" s="1"/>
      <c r="GQM224" s="1"/>
      <c r="GQN224" s="1"/>
      <c r="GQO224" s="1"/>
      <c r="GQP224" s="1"/>
      <c r="GQQ224" s="1"/>
      <c r="GQR224" s="1"/>
      <c r="GQS224" s="1"/>
      <c r="GQT224" s="1"/>
      <c r="GQU224" s="1"/>
      <c r="GQV224" s="1"/>
      <c r="GQW224" s="1"/>
      <c r="GQX224" s="1"/>
      <c r="GQY224" s="1"/>
      <c r="GQZ224" s="1"/>
      <c r="GRA224" s="1"/>
      <c r="GRB224" s="1"/>
      <c r="GRC224" s="1"/>
      <c r="GRD224" s="1"/>
      <c r="GRE224" s="1"/>
      <c r="GRF224" s="1"/>
      <c r="GRG224" s="1"/>
      <c r="GRH224" s="1"/>
      <c r="GRI224" s="1"/>
      <c r="GRJ224" s="1"/>
      <c r="GRK224" s="1"/>
      <c r="GRL224" s="1"/>
      <c r="GRM224" s="1"/>
      <c r="GRN224" s="1"/>
      <c r="GRO224" s="1"/>
      <c r="GRP224" s="1"/>
      <c r="GRQ224" s="1"/>
      <c r="GRR224" s="1"/>
      <c r="GRS224" s="1"/>
      <c r="GRT224" s="1"/>
      <c r="GRU224" s="1"/>
      <c r="GRV224" s="1"/>
      <c r="GRW224" s="1"/>
      <c r="GRX224" s="1"/>
      <c r="GRY224" s="1"/>
      <c r="GRZ224" s="1"/>
      <c r="GSA224" s="1"/>
      <c r="GSB224" s="1"/>
      <c r="GSC224" s="1"/>
      <c r="GSD224" s="1"/>
      <c r="GSE224" s="1"/>
      <c r="GSF224" s="1"/>
      <c r="GSG224" s="1"/>
      <c r="GSH224" s="1"/>
      <c r="GSI224" s="1"/>
      <c r="GSJ224" s="1"/>
      <c r="GSK224" s="1"/>
      <c r="GSL224" s="1"/>
      <c r="GSM224" s="1"/>
      <c r="GSN224" s="1"/>
      <c r="GSO224" s="1"/>
      <c r="GSP224" s="1"/>
      <c r="GSQ224" s="1"/>
      <c r="GSR224" s="1"/>
      <c r="GSS224" s="1"/>
      <c r="GST224" s="1"/>
      <c r="GSU224" s="1"/>
      <c r="GSV224" s="1"/>
      <c r="GSW224" s="1"/>
      <c r="GSX224" s="1"/>
      <c r="GSY224" s="1"/>
      <c r="GSZ224" s="1"/>
      <c r="GTA224" s="1"/>
      <c r="GTB224" s="1"/>
      <c r="GTC224" s="1"/>
      <c r="GTD224" s="1"/>
      <c r="GTE224" s="1"/>
      <c r="GTF224" s="1"/>
      <c r="GTG224" s="1"/>
      <c r="GTH224" s="1"/>
      <c r="GTI224" s="1"/>
      <c r="GTJ224" s="1"/>
      <c r="GTK224" s="1"/>
      <c r="GTL224" s="1"/>
      <c r="GTM224" s="1"/>
      <c r="GTN224" s="1"/>
      <c r="GTO224" s="1"/>
      <c r="GTP224" s="1"/>
      <c r="GTQ224" s="1"/>
      <c r="GTR224" s="1"/>
      <c r="GTS224" s="1"/>
      <c r="GTT224" s="1"/>
      <c r="GTU224" s="1"/>
      <c r="GTV224" s="1"/>
      <c r="GTW224" s="1"/>
      <c r="GTX224" s="1"/>
      <c r="GTY224" s="1"/>
      <c r="GTZ224" s="1"/>
      <c r="GUA224" s="1"/>
      <c r="GUB224" s="1"/>
      <c r="GUC224" s="1"/>
      <c r="GUD224" s="1"/>
      <c r="GUE224" s="1"/>
      <c r="GUF224" s="1"/>
      <c r="GUG224" s="1"/>
      <c r="GUH224" s="1"/>
      <c r="GUI224" s="1"/>
      <c r="GUJ224" s="1"/>
      <c r="GUK224" s="1"/>
      <c r="GUL224" s="1"/>
      <c r="GUM224" s="1"/>
      <c r="GUN224" s="1"/>
      <c r="GUO224" s="1"/>
      <c r="GUP224" s="1"/>
      <c r="GUQ224" s="1"/>
      <c r="GUR224" s="1"/>
      <c r="GUS224" s="1"/>
      <c r="GUT224" s="1"/>
      <c r="GUU224" s="1"/>
      <c r="GUV224" s="1"/>
      <c r="GUW224" s="1"/>
      <c r="GUX224" s="1"/>
      <c r="GUY224" s="1"/>
      <c r="GUZ224" s="1"/>
      <c r="GVA224" s="1"/>
      <c r="GVB224" s="1"/>
      <c r="GVC224" s="1"/>
      <c r="GVD224" s="1"/>
      <c r="GVE224" s="1"/>
      <c r="GVF224" s="1"/>
      <c r="GVG224" s="1"/>
      <c r="GVH224" s="1"/>
      <c r="GVI224" s="1"/>
      <c r="GVJ224" s="1"/>
      <c r="GVK224" s="1"/>
      <c r="GVL224" s="1"/>
      <c r="GVM224" s="1"/>
      <c r="GVN224" s="1"/>
      <c r="GVO224" s="1"/>
      <c r="GVP224" s="1"/>
      <c r="GVQ224" s="1"/>
      <c r="GVR224" s="1"/>
      <c r="GVS224" s="1"/>
      <c r="GVT224" s="1"/>
      <c r="GVU224" s="1"/>
      <c r="GVV224" s="1"/>
      <c r="GVW224" s="1"/>
      <c r="GVX224" s="1"/>
      <c r="GVY224" s="1"/>
      <c r="GVZ224" s="1"/>
      <c r="GWA224" s="1"/>
      <c r="GWB224" s="1"/>
      <c r="GWC224" s="1"/>
      <c r="GWD224" s="1"/>
      <c r="GWE224" s="1"/>
      <c r="GWF224" s="1"/>
      <c r="GWG224" s="1"/>
      <c r="GWH224" s="1"/>
      <c r="GWI224" s="1"/>
      <c r="GWJ224" s="1"/>
      <c r="GWK224" s="1"/>
      <c r="GWL224" s="1"/>
      <c r="GWM224" s="1"/>
      <c r="GWN224" s="1"/>
      <c r="GWO224" s="1"/>
      <c r="GWP224" s="1"/>
      <c r="GWQ224" s="1"/>
      <c r="GWR224" s="1"/>
      <c r="GWS224" s="1"/>
      <c r="GWT224" s="1"/>
      <c r="GWU224" s="1"/>
      <c r="GWV224" s="1"/>
      <c r="GWW224" s="1"/>
      <c r="GWX224" s="1"/>
      <c r="GWY224" s="1"/>
      <c r="GWZ224" s="1"/>
      <c r="GXA224" s="1"/>
      <c r="GXB224" s="1"/>
      <c r="GXC224" s="1"/>
      <c r="GXD224" s="1"/>
      <c r="GXE224" s="1"/>
      <c r="GXF224" s="1"/>
      <c r="GXG224" s="1"/>
      <c r="GXH224" s="1"/>
      <c r="GXI224" s="1"/>
      <c r="GXJ224" s="1"/>
      <c r="GXK224" s="1"/>
      <c r="GXL224" s="1"/>
      <c r="GXM224" s="1"/>
      <c r="GXN224" s="1"/>
      <c r="GXO224" s="1"/>
      <c r="GXP224" s="1"/>
      <c r="GXQ224" s="1"/>
      <c r="GXR224" s="1"/>
      <c r="GXS224" s="1"/>
      <c r="GXT224" s="1"/>
      <c r="GXU224" s="1"/>
      <c r="GXV224" s="1"/>
      <c r="GXW224" s="1"/>
      <c r="GXX224" s="1"/>
      <c r="GXY224" s="1"/>
      <c r="GXZ224" s="1"/>
      <c r="GYA224" s="1"/>
      <c r="GYB224" s="1"/>
      <c r="GYC224" s="1"/>
      <c r="GYD224" s="1"/>
      <c r="GYE224" s="1"/>
      <c r="GYF224" s="1"/>
      <c r="GYG224" s="1"/>
      <c r="GYH224" s="1"/>
      <c r="GYI224" s="1"/>
      <c r="GYJ224" s="1"/>
      <c r="GYK224" s="1"/>
      <c r="GYL224" s="1"/>
      <c r="GYM224" s="1"/>
      <c r="GYN224" s="1"/>
      <c r="GYO224" s="1"/>
      <c r="GYP224" s="1"/>
      <c r="GYQ224" s="1"/>
      <c r="GYR224" s="1"/>
      <c r="GYS224" s="1"/>
      <c r="GYT224" s="1"/>
      <c r="GYU224" s="1"/>
      <c r="GYV224" s="1"/>
      <c r="GYW224" s="1"/>
      <c r="GYX224" s="1"/>
      <c r="GYY224" s="1"/>
      <c r="GYZ224" s="1"/>
      <c r="GZA224" s="1"/>
      <c r="GZB224" s="1"/>
      <c r="GZC224" s="1"/>
      <c r="GZD224" s="1"/>
      <c r="GZE224" s="1"/>
      <c r="GZF224" s="1"/>
      <c r="GZG224" s="1"/>
      <c r="GZH224" s="1"/>
      <c r="GZI224" s="1"/>
      <c r="GZJ224" s="1"/>
      <c r="GZK224" s="1"/>
      <c r="GZL224" s="1"/>
      <c r="GZM224" s="1"/>
      <c r="GZN224" s="1"/>
      <c r="GZO224" s="1"/>
      <c r="GZP224" s="1"/>
      <c r="GZQ224" s="1"/>
      <c r="GZR224" s="1"/>
      <c r="GZS224" s="1"/>
      <c r="GZT224" s="1"/>
      <c r="GZU224" s="1"/>
      <c r="GZV224" s="1"/>
      <c r="GZW224" s="1"/>
      <c r="GZX224" s="1"/>
      <c r="GZY224" s="1"/>
      <c r="GZZ224" s="1"/>
      <c r="HAA224" s="1"/>
      <c r="HAB224" s="1"/>
      <c r="HAC224" s="1"/>
      <c r="HAD224" s="1"/>
      <c r="HAE224" s="1"/>
      <c r="HAF224" s="1"/>
      <c r="HAG224" s="1"/>
      <c r="HAH224" s="1"/>
      <c r="HAI224" s="1"/>
      <c r="HAJ224" s="1"/>
      <c r="HAK224" s="1"/>
      <c r="HAL224" s="1"/>
      <c r="HAM224" s="1"/>
      <c r="HAN224" s="1"/>
      <c r="HAO224" s="1"/>
      <c r="HAP224" s="1"/>
      <c r="HAQ224" s="1"/>
      <c r="HAR224" s="1"/>
      <c r="HAS224" s="1"/>
      <c r="HAT224" s="1"/>
      <c r="HAU224" s="1"/>
      <c r="HAV224" s="1"/>
      <c r="HAW224" s="1"/>
      <c r="HAX224" s="1"/>
      <c r="HAY224" s="1"/>
      <c r="HAZ224" s="1"/>
      <c r="HBA224" s="1"/>
      <c r="HBB224" s="1"/>
      <c r="HBC224" s="1"/>
      <c r="HBD224" s="1"/>
      <c r="HBE224" s="1"/>
      <c r="HBF224" s="1"/>
      <c r="HBG224" s="1"/>
      <c r="HBH224" s="1"/>
      <c r="HBI224" s="1"/>
      <c r="HBJ224" s="1"/>
      <c r="HBK224" s="1"/>
      <c r="HBL224" s="1"/>
      <c r="HBM224" s="1"/>
      <c r="HBN224" s="1"/>
      <c r="HBO224" s="1"/>
      <c r="HBP224" s="1"/>
      <c r="HBQ224" s="1"/>
      <c r="HBR224" s="1"/>
      <c r="HBS224" s="1"/>
      <c r="HBT224" s="1"/>
      <c r="HBU224" s="1"/>
      <c r="HBV224" s="1"/>
      <c r="HBW224" s="1"/>
      <c r="HBX224" s="1"/>
      <c r="HBY224" s="1"/>
      <c r="HBZ224" s="1"/>
      <c r="HCA224" s="1"/>
      <c r="HCB224" s="1"/>
      <c r="HCC224" s="1"/>
      <c r="HCD224" s="1"/>
      <c r="HCE224" s="1"/>
      <c r="HCF224" s="1"/>
      <c r="HCG224" s="1"/>
      <c r="HCH224" s="1"/>
      <c r="HCI224" s="1"/>
      <c r="HCJ224" s="1"/>
      <c r="HCK224" s="1"/>
      <c r="HCL224" s="1"/>
      <c r="HCM224" s="1"/>
      <c r="HCN224" s="1"/>
      <c r="HCO224" s="1"/>
      <c r="HCP224" s="1"/>
      <c r="HCQ224" s="1"/>
      <c r="HCR224" s="1"/>
      <c r="HCS224" s="1"/>
      <c r="HCT224" s="1"/>
      <c r="HCU224" s="1"/>
      <c r="HCV224" s="1"/>
      <c r="HCW224" s="1"/>
      <c r="HCX224" s="1"/>
      <c r="HCY224" s="1"/>
      <c r="HCZ224" s="1"/>
      <c r="HDA224" s="1"/>
      <c r="HDB224" s="1"/>
      <c r="HDC224" s="1"/>
      <c r="HDD224" s="1"/>
      <c r="HDE224" s="1"/>
      <c r="HDF224" s="1"/>
      <c r="HDG224" s="1"/>
      <c r="HDH224" s="1"/>
      <c r="HDI224" s="1"/>
      <c r="HDJ224" s="1"/>
      <c r="HDK224" s="1"/>
      <c r="HDL224" s="1"/>
      <c r="HDM224" s="1"/>
      <c r="HDN224" s="1"/>
      <c r="HDO224" s="1"/>
      <c r="HDP224" s="1"/>
      <c r="HDQ224" s="1"/>
      <c r="HDR224" s="1"/>
      <c r="HDS224" s="1"/>
      <c r="HDT224" s="1"/>
      <c r="HDU224" s="1"/>
      <c r="HDV224" s="1"/>
      <c r="HDW224" s="1"/>
      <c r="HDX224" s="1"/>
      <c r="HDY224" s="1"/>
      <c r="HDZ224" s="1"/>
      <c r="HEA224" s="1"/>
      <c r="HEB224" s="1"/>
      <c r="HEC224" s="1"/>
      <c r="HED224" s="1"/>
      <c r="HEE224" s="1"/>
      <c r="HEF224" s="1"/>
      <c r="HEG224" s="1"/>
      <c r="HEH224" s="1"/>
      <c r="HEI224" s="1"/>
      <c r="HEJ224" s="1"/>
      <c r="HEK224" s="1"/>
      <c r="HEL224" s="1"/>
      <c r="HEM224" s="1"/>
      <c r="HEN224" s="1"/>
      <c r="HEO224" s="1"/>
      <c r="HEP224" s="1"/>
      <c r="HEQ224" s="1"/>
      <c r="HER224" s="1"/>
      <c r="HES224" s="1"/>
      <c r="HET224" s="1"/>
      <c r="HEU224" s="1"/>
      <c r="HEV224" s="1"/>
      <c r="HEW224" s="1"/>
      <c r="HEX224" s="1"/>
      <c r="HEY224" s="1"/>
      <c r="HEZ224" s="1"/>
      <c r="HFA224" s="1"/>
      <c r="HFB224" s="1"/>
      <c r="HFC224" s="1"/>
      <c r="HFD224" s="1"/>
      <c r="HFE224" s="1"/>
      <c r="HFF224" s="1"/>
      <c r="HFG224" s="1"/>
      <c r="HFH224" s="1"/>
      <c r="HFI224" s="1"/>
      <c r="HFJ224" s="1"/>
      <c r="HFK224" s="1"/>
      <c r="HFL224" s="1"/>
      <c r="HFM224" s="1"/>
      <c r="HFN224" s="1"/>
      <c r="HFO224" s="1"/>
      <c r="HFP224" s="1"/>
      <c r="HFQ224" s="1"/>
      <c r="HFR224" s="1"/>
      <c r="HFS224" s="1"/>
      <c r="HFT224" s="1"/>
      <c r="HFU224" s="1"/>
      <c r="HFV224" s="1"/>
      <c r="HFW224" s="1"/>
      <c r="HFX224" s="1"/>
      <c r="HFY224" s="1"/>
      <c r="HFZ224" s="1"/>
      <c r="HGA224" s="1"/>
      <c r="HGB224" s="1"/>
      <c r="HGC224" s="1"/>
      <c r="HGD224" s="1"/>
      <c r="HGE224" s="1"/>
      <c r="HGF224" s="1"/>
      <c r="HGG224" s="1"/>
      <c r="HGH224" s="1"/>
      <c r="HGI224" s="1"/>
      <c r="HGJ224" s="1"/>
      <c r="HGK224" s="1"/>
      <c r="HGL224" s="1"/>
      <c r="HGM224" s="1"/>
      <c r="HGN224" s="1"/>
      <c r="HGO224" s="1"/>
      <c r="HGP224" s="1"/>
      <c r="HGQ224" s="1"/>
      <c r="HGR224" s="1"/>
      <c r="HGS224" s="1"/>
      <c r="HGT224" s="1"/>
      <c r="HGU224" s="1"/>
      <c r="HGV224" s="1"/>
      <c r="HGW224" s="1"/>
      <c r="HGX224" s="1"/>
      <c r="HGY224" s="1"/>
      <c r="HGZ224" s="1"/>
      <c r="HHA224" s="1"/>
      <c r="HHB224" s="1"/>
      <c r="HHC224" s="1"/>
      <c r="HHD224" s="1"/>
      <c r="HHE224" s="1"/>
      <c r="HHF224" s="1"/>
      <c r="HHG224" s="1"/>
      <c r="HHH224" s="1"/>
      <c r="HHI224" s="1"/>
      <c r="HHJ224" s="1"/>
      <c r="HHK224" s="1"/>
      <c r="HHL224" s="1"/>
      <c r="HHM224" s="1"/>
      <c r="HHN224" s="1"/>
      <c r="HHO224" s="1"/>
      <c r="HHP224" s="1"/>
      <c r="HHQ224" s="1"/>
      <c r="HHR224" s="1"/>
      <c r="HHS224" s="1"/>
      <c r="HHT224" s="1"/>
      <c r="HHU224" s="1"/>
      <c r="HHV224" s="1"/>
      <c r="HHW224" s="1"/>
      <c r="HHX224" s="1"/>
      <c r="HHY224" s="1"/>
      <c r="HHZ224" s="1"/>
      <c r="HIA224" s="1"/>
      <c r="HIB224" s="1"/>
      <c r="HIC224" s="1"/>
      <c r="HID224" s="1"/>
      <c r="HIE224" s="1"/>
      <c r="HIF224" s="1"/>
      <c r="HIG224" s="1"/>
      <c r="HIH224" s="1"/>
      <c r="HII224" s="1"/>
      <c r="HIJ224" s="1"/>
      <c r="HIK224" s="1"/>
      <c r="HIL224" s="1"/>
      <c r="HIM224" s="1"/>
      <c r="HIN224" s="1"/>
      <c r="HIO224" s="1"/>
      <c r="HIP224" s="1"/>
      <c r="HIQ224" s="1"/>
      <c r="HIR224" s="1"/>
      <c r="HIS224" s="1"/>
      <c r="HIT224" s="1"/>
      <c r="HIU224" s="1"/>
      <c r="HIV224" s="1"/>
      <c r="HIW224" s="1"/>
      <c r="HIX224" s="1"/>
      <c r="HIY224" s="1"/>
      <c r="HIZ224" s="1"/>
      <c r="HJA224" s="1"/>
      <c r="HJB224" s="1"/>
      <c r="HJC224" s="1"/>
      <c r="HJD224" s="1"/>
      <c r="HJE224" s="1"/>
      <c r="HJF224" s="1"/>
      <c r="HJG224" s="1"/>
      <c r="HJH224" s="1"/>
      <c r="HJI224" s="1"/>
      <c r="HJJ224" s="1"/>
      <c r="HJK224" s="1"/>
      <c r="HJL224" s="1"/>
      <c r="HJM224" s="1"/>
      <c r="HJN224" s="1"/>
      <c r="HJO224" s="1"/>
      <c r="HJP224" s="1"/>
      <c r="HJQ224" s="1"/>
      <c r="HJR224" s="1"/>
      <c r="HJS224" s="1"/>
      <c r="HJT224" s="1"/>
      <c r="HJU224" s="1"/>
      <c r="HJV224" s="1"/>
      <c r="HJW224" s="1"/>
      <c r="HJX224" s="1"/>
      <c r="HJY224" s="1"/>
      <c r="HJZ224" s="1"/>
      <c r="HKA224" s="1"/>
      <c r="HKB224" s="1"/>
      <c r="HKC224" s="1"/>
      <c r="HKD224" s="1"/>
      <c r="HKE224" s="1"/>
      <c r="HKF224" s="1"/>
      <c r="HKG224" s="1"/>
      <c r="HKH224" s="1"/>
      <c r="HKI224" s="1"/>
      <c r="HKJ224" s="1"/>
      <c r="HKK224" s="1"/>
      <c r="HKL224" s="1"/>
      <c r="HKM224" s="1"/>
      <c r="HKN224" s="1"/>
      <c r="HKO224" s="1"/>
      <c r="HKP224" s="1"/>
      <c r="HKQ224" s="1"/>
      <c r="HKR224" s="1"/>
      <c r="HKS224" s="1"/>
      <c r="HKT224" s="1"/>
      <c r="HKU224" s="1"/>
      <c r="HKV224" s="1"/>
      <c r="HKW224" s="1"/>
      <c r="HKX224" s="1"/>
      <c r="HKY224" s="1"/>
      <c r="HKZ224" s="1"/>
      <c r="HLA224" s="1"/>
      <c r="HLB224" s="1"/>
      <c r="HLC224" s="1"/>
      <c r="HLD224" s="1"/>
      <c r="HLE224" s="1"/>
      <c r="HLF224" s="1"/>
      <c r="HLG224" s="1"/>
      <c r="HLH224" s="1"/>
      <c r="HLI224" s="1"/>
      <c r="HLJ224" s="1"/>
      <c r="HLK224" s="1"/>
      <c r="HLL224" s="1"/>
      <c r="HLM224" s="1"/>
      <c r="HLN224" s="1"/>
      <c r="HLO224" s="1"/>
      <c r="HLP224" s="1"/>
      <c r="HLQ224" s="1"/>
      <c r="HLR224" s="1"/>
      <c r="HLS224" s="1"/>
      <c r="HLT224" s="1"/>
      <c r="HLU224" s="1"/>
      <c r="HLV224" s="1"/>
      <c r="HLW224" s="1"/>
      <c r="HLX224" s="1"/>
      <c r="HLY224" s="1"/>
      <c r="HLZ224" s="1"/>
      <c r="HMA224" s="1"/>
      <c r="HMB224" s="1"/>
      <c r="HMC224" s="1"/>
      <c r="HMD224" s="1"/>
      <c r="HME224" s="1"/>
      <c r="HMF224" s="1"/>
      <c r="HMG224" s="1"/>
      <c r="HMH224" s="1"/>
      <c r="HMI224" s="1"/>
      <c r="HMJ224" s="1"/>
      <c r="HMK224" s="1"/>
      <c r="HML224" s="1"/>
      <c r="HMM224" s="1"/>
      <c r="HMN224" s="1"/>
      <c r="HMO224" s="1"/>
      <c r="HMP224" s="1"/>
      <c r="HMQ224" s="1"/>
      <c r="HMR224" s="1"/>
      <c r="HMS224" s="1"/>
      <c r="HMT224" s="1"/>
      <c r="HMU224" s="1"/>
      <c r="HMV224" s="1"/>
      <c r="HMW224" s="1"/>
      <c r="HMX224" s="1"/>
      <c r="HMY224" s="1"/>
      <c r="HMZ224" s="1"/>
      <c r="HNA224" s="1"/>
      <c r="HNB224" s="1"/>
      <c r="HNC224" s="1"/>
      <c r="HND224" s="1"/>
      <c r="HNE224" s="1"/>
      <c r="HNF224" s="1"/>
      <c r="HNG224" s="1"/>
      <c r="HNH224" s="1"/>
      <c r="HNI224" s="1"/>
      <c r="HNJ224" s="1"/>
      <c r="HNK224" s="1"/>
      <c r="HNL224" s="1"/>
      <c r="HNM224" s="1"/>
      <c r="HNN224" s="1"/>
      <c r="HNO224" s="1"/>
      <c r="HNP224" s="1"/>
      <c r="HNQ224" s="1"/>
      <c r="HNR224" s="1"/>
      <c r="HNS224" s="1"/>
      <c r="HNT224" s="1"/>
      <c r="HNU224" s="1"/>
      <c r="HNV224" s="1"/>
      <c r="HNW224" s="1"/>
      <c r="HNX224" s="1"/>
      <c r="HNY224" s="1"/>
      <c r="HNZ224" s="1"/>
      <c r="HOA224" s="1"/>
      <c r="HOB224" s="1"/>
      <c r="HOC224" s="1"/>
      <c r="HOD224" s="1"/>
      <c r="HOE224" s="1"/>
      <c r="HOF224" s="1"/>
      <c r="HOG224" s="1"/>
      <c r="HOH224" s="1"/>
      <c r="HOI224" s="1"/>
      <c r="HOJ224" s="1"/>
      <c r="HOK224" s="1"/>
      <c r="HOL224" s="1"/>
      <c r="HOM224" s="1"/>
      <c r="HON224" s="1"/>
      <c r="HOO224" s="1"/>
      <c r="HOP224" s="1"/>
      <c r="HOQ224" s="1"/>
      <c r="HOR224" s="1"/>
      <c r="HOS224" s="1"/>
      <c r="HOT224" s="1"/>
      <c r="HOU224" s="1"/>
      <c r="HOV224" s="1"/>
      <c r="HOW224" s="1"/>
      <c r="HOX224" s="1"/>
      <c r="HOY224" s="1"/>
      <c r="HOZ224" s="1"/>
      <c r="HPA224" s="1"/>
      <c r="HPB224" s="1"/>
      <c r="HPC224" s="1"/>
      <c r="HPD224" s="1"/>
      <c r="HPE224" s="1"/>
      <c r="HPF224" s="1"/>
      <c r="HPG224" s="1"/>
      <c r="HPH224" s="1"/>
      <c r="HPI224" s="1"/>
      <c r="HPJ224" s="1"/>
      <c r="HPK224" s="1"/>
      <c r="HPL224" s="1"/>
      <c r="HPM224" s="1"/>
      <c r="HPN224" s="1"/>
      <c r="HPO224" s="1"/>
      <c r="HPP224" s="1"/>
      <c r="HPQ224" s="1"/>
      <c r="HPR224" s="1"/>
      <c r="HPS224" s="1"/>
      <c r="HPT224" s="1"/>
      <c r="HPU224" s="1"/>
      <c r="HPV224" s="1"/>
      <c r="HPW224" s="1"/>
      <c r="HPX224" s="1"/>
      <c r="HPY224" s="1"/>
      <c r="HPZ224" s="1"/>
      <c r="HQA224" s="1"/>
      <c r="HQB224" s="1"/>
      <c r="HQC224" s="1"/>
      <c r="HQD224" s="1"/>
      <c r="HQE224" s="1"/>
      <c r="HQF224" s="1"/>
      <c r="HQG224" s="1"/>
      <c r="HQH224" s="1"/>
      <c r="HQI224" s="1"/>
      <c r="HQJ224" s="1"/>
      <c r="HQK224" s="1"/>
      <c r="HQL224" s="1"/>
      <c r="HQM224" s="1"/>
      <c r="HQN224" s="1"/>
      <c r="HQO224" s="1"/>
      <c r="HQP224" s="1"/>
      <c r="HQQ224" s="1"/>
      <c r="HQR224" s="1"/>
      <c r="HQS224" s="1"/>
      <c r="HQT224" s="1"/>
      <c r="HQU224" s="1"/>
      <c r="HQV224" s="1"/>
      <c r="HQW224" s="1"/>
      <c r="HQX224" s="1"/>
      <c r="HQY224" s="1"/>
      <c r="HQZ224" s="1"/>
      <c r="HRA224" s="1"/>
      <c r="HRB224" s="1"/>
      <c r="HRC224" s="1"/>
      <c r="HRD224" s="1"/>
      <c r="HRE224" s="1"/>
      <c r="HRF224" s="1"/>
      <c r="HRG224" s="1"/>
      <c r="HRH224" s="1"/>
      <c r="HRI224" s="1"/>
      <c r="HRJ224" s="1"/>
      <c r="HRK224" s="1"/>
      <c r="HRL224" s="1"/>
      <c r="HRM224" s="1"/>
      <c r="HRN224" s="1"/>
      <c r="HRO224" s="1"/>
      <c r="HRP224" s="1"/>
      <c r="HRQ224" s="1"/>
      <c r="HRR224" s="1"/>
      <c r="HRS224" s="1"/>
      <c r="HRT224" s="1"/>
      <c r="HRU224" s="1"/>
      <c r="HRV224" s="1"/>
      <c r="HRW224" s="1"/>
      <c r="HRX224" s="1"/>
      <c r="HRY224" s="1"/>
      <c r="HRZ224" s="1"/>
      <c r="HSA224" s="1"/>
      <c r="HSB224" s="1"/>
      <c r="HSC224" s="1"/>
      <c r="HSD224" s="1"/>
      <c r="HSE224" s="1"/>
      <c r="HSF224" s="1"/>
      <c r="HSG224" s="1"/>
      <c r="HSH224" s="1"/>
      <c r="HSI224" s="1"/>
      <c r="HSJ224" s="1"/>
      <c r="HSK224" s="1"/>
      <c r="HSL224" s="1"/>
      <c r="HSM224" s="1"/>
      <c r="HSN224" s="1"/>
      <c r="HSO224" s="1"/>
      <c r="HSP224" s="1"/>
      <c r="HSQ224" s="1"/>
      <c r="HSR224" s="1"/>
      <c r="HSS224" s="1"/>
      <c r="HST224" s="1"/>
      <c r="HSU224" s="1"/>
      <c r="HSV224" s="1"/>
      <c r="HSW224" s="1"/>
      <c r="HSX224" s="1"/>
      <c r="HSY224" s="1"/>
      <c r="HSZ224" s="1"/>
      <c r="HTA224" s="1"/>
      <c r="HTB224" s="1"/>
      <c r="HTC224" s="1"/>
      <c r="HTD224" s="1"/>
      <c r="HTE224" s="1"/>
      <c r="HTF224" s="1"/>
      <c r="HTG224" s="1"/>
      <c r="HTH224" s="1"/>
      <c r="HTI224" s="1"/>
      <c r="HTJ224" s="1"/>
      <c r="HTK224" s="1"/>
      <c r="HTL224" s="1"/>
      <c r="HTM224" s="1"/>
      <c r="HTN224" s="1"/>
      <c r="HTO224" s="1"/>
      <c r="HTP224" s="1"/>
      <c r="HTQ224" s="1"/>
      <c r="HTR224" s="1"/>
      <c r="HTS224" s="1"/>
      <c r="HTT224" s="1"/>
      <c r="HTU224" s="1"/>
      <c r="HTV224" s="1"/>
      <c r="HTW224" s="1"/>
      <c r="HTX224" s="1"/>
      <c r="HTY224" s="1"/>
      <c r="HTZ224" s="1"/>
      <c r="HUA224" s="1"/>
      <c r="HUB224" s="1"/>
      <c r="HUC224" s="1"/>
      <c r="HUD224" s="1"/>
      <c r="HUE224" s="1"/>
      <c r="HUF224" s="1"/>
      <c r="HUG224" s="1"/>
      <c r="HUH224" s="1"/>
      <c r="HUI224" s="1"/>
      <c r="HUJ224" s="1"/>
      <c r="HUK224" s="1"/>
      <c r="HUL224" s="1"/>
      <c r="HUM224" s="1"/>
      <c r="HUN224" s="1"/>
      <c r="HUO224" s="1"/>
      <c r="HUP224" s="1"/>
      <c r="HUQ224" s="1"/>
      <c r="HUR224" s="1"/>
      <c r="HUS224" s="1"/>
      <c r="HUT224" s="1"/>
      <c r="HUU224" s="1"/>
      <c r="HUV224" s="1"/>
      <c r="HUW224" s="1"/>
      <c r="HUX224" s="1"/>
      <c r="HUY224" s="1"/>
      <c r="HUZ224" s="1"/>
      <c r="HVA224" s="1"/>
      <c r="HVB224" s="1"/>
      <c r="HVC224" s="1"/>
      <c r="HVD224" s="1"/>
      <c r="HVE224" s="1"/>
      <c r="HVF224" s="1"/>
      <c r="HVG224" s="1"/>
      <c r="HVH224" s="1"/>
      <c r="HVI224" s="1"/>
      <c r="HVJ224" s="1"/>
      <c r="HVK224" s="1"/>
      <c r="HVL224" s="1"/>
      <c r="HVM224" s="1"/>
      <c r="HVN224" s="1"/>
      <c r="HVO224" s="1"/>
      <c r="HVP224" s="1"/>
      <c r="HVQ224" s="1"/>
      <c r="HVR224" s="1"/>
      <c r="HVS224" s="1"/>
      <c r="HVT224" s="1"/>
      <c r="HVU224" s="1"/>
      <c r="HVV224" s="1"/>
      <c r="HVW224" s="1"/>
      <c r="HVX224" s="1"/>
      <c r="HVY224" s="1"/>
      <c r="HVZ224" s="1"/>
      <c r="HWA224" s="1"/>
      <c r="HWB224" s="1"/>
      <c r="HWC224" s="1"/>
      <c r="HWD224" s="1"/>
      <c r="HWE224" s="1"/>
      <c r="HWF224" s="1"/>
      <c r="HWG224" s="1"/>
      <c r="HWH224" s="1"/>
      <c r="HWI224" s="1"/>
      <c r="HWJ224" s="1"/>
      <c r="HWK224" s="1"/>
      <c r="HWL224" s="1"/>
      <c r="HWM224" s="1"/>
      <c r="HWN224" s="1"/>
      <c r="HWO224" s="1"/>
      <c r="HWP224" s="1"/>
      <c r="HWQ224" s="1"/>
      <c r="HWR224" s="1"/>
      <c r="HWS224" s="1"/>
      <c r="HWT224" s="1"/>
      <c r="HWU224" s="1"/>
      <c r="HWV224" s="1"/>
      <c r="HWW224" s="1"/>
      <c r="HWX224" s="1"/>
      <c r="HWY224" s="1"/>
      <c r="HWZ224" s="1"/>
      <c r="HXA224" s="1"/>
      <c r="HXB224" s="1"/>
      <c r="HXC224" s="1"/>
      <c r="HXD224" s="1"/>
      <c r="HXE224" s="1"/>
      <c r="HXF224" s="1"/>
      <c r="HXG224" s="1"/>
      <c r="HXH224" s="1"/>
      <c r="HXI224" s="1"/>
      <c r="HXJ224" s="1"/>
      <c r="HXK224" s="1"/>
      <c r="HXL224" s="1"/>
      <c r="HXM224" s="1"/>
      <c r="HXN224" s="1"/>
      <c r="HXO224" s="1"/>
      <c r="HXP224" s="1"/>
      <c r="HXQ224" s="1"/>
      <c r="HXR224" s="1"/>
      <c r="HXS224" s="1"/>
      <c r="HXT224" s="1"/>
      <c r="HXU224" s="1"/>
      <c r="HXV224" s="1"/>
      <c r="HXW224" s="1"/>
      <c r="HXX224" s="1"/>
      <c r="HXY224" s="1"/>
      <c r="HXZ224" s="1"/>
      <c r="HYA224" s="1"/>
      <c r="HYB224" s="1"/>
      <c r="HYC224" s="1"/>
      <c r="HYD224" s="1"/>
      <c r="HYE224" s="1"/>
      <c r="HYF224" s="1"/>
      <c r="HYG224" s="1"/>
      <c r="HYH224" s="1"/>
      <c r="HYI224" s="1"/>
      <c r="HYJ224" s="1"/>
      <c r="HYK224" s="1"/>
      <c r="HYL224" s="1"/>
      <c r="HYM224" s="1"/>
      <c r="HYN224" s="1"/>
      <c r="HYO224" s="1"/>
      <c r="HYP224" s="1"/>
      <c r="HYQ224" s="1"/>
      <c r="HYR224" s="1"/>
      <c r="HYS224" s="1"/>
      <c r="HYT224" s="1"/>
      <c r="HYU224" s="1"/>
      <c r="HYV224" s="1"/>
      <c r="HYW224" s="1"/>
      <c r="HYX224" s="1"/>
      <c r="HYY224" s="1"/>
      <c r="HYZ224" s="1"/>
      <c r="HZA224" s="1"/>
      <c r="HZB224" s="1"/>
      <c r="HZC224" s="1"/>
      <c r="HZD224" s="1"/>
      <c r="HZE224" s="1"/>
      <c r="HZF224" s="1"/>
      <c r="HZG224" s="1"/>
      <c r="HZH224" s="1"/>
      <c r="HZI224" s="1"/>
      <c r="HZJ224" s="1"/>
      <c r="HZK224" s="1"/>
      <c r="HZL224" s="1"/>
      <c r="HZM224" s="1"/>
      <c r="HZN224" s="1"/>
      <c r="HZO224" s="1"/>
      <c r="HZP224" s="1"/>
      <c r="HZQ224" s="1"/>
      <c r="HZR224" s="1"/>
      <c r="HZS224" s="1"/>
      <c r="HZT224" s="1"/>
      <c r="HZU224" s="1"/>
      <c r="HZV224" s="1"/>
      <c r="HZW224" s="1"/>
      <c r="HZX224" s="1"/>
      <c r="HZY224" s="1"/>
      <c r="HZZ224" s="1"/>
      <c r="IAA224" s="1"/>
      <c r="IAB224" s="1"/>
      <c r="IAC224" s="1"/>
      <c r="IAD224" s="1"/>
      <c r="IAE224" s="1"/>
      <c r="IAF224" s="1"/>
      <c r="IAG224" s="1"/>
      <c r="IAH224" s="1"/>
      <c r="IAI224" s="1"/>
      <c r="IAJ224" s="1"/>
      <c r="IAK224" s="1"/>
      <c r="IAL224" s="1"/>
      <c r="IAM224" s="1"/>
      <c r="IAN224" s="1"/>
      <c r="IAO224" s="1"/>
      <c r="IAP224" s="1"/>
      <c r="IAQ224" s="1"/>
      <c r="IAR224" s="1"/>
      <c r="IAS224" s="1"/>
      <c r="IAT224" s="1"/>
      <c r="IAU224" s="1"/>
      <c r="IAV224" s="1"/>
      <c r="IAW224" s="1"/>
      <c r="IAX224" s="1"/>
      <c r="IAY224" s="1"/>
      <c r="IAZ224" s="1"/>
      <c r="IBA224" s="1"/>
      <c r="IBB224" s="1"/>
      <c r="IBC224" s="1"/>
      <c r="IBD224" s="1"/>
      <c r="IBE224" s="1"/>
      <c r="IBF224" s="1"/>
      <c r="IBG224" s="1"/>
      <c r="IBH224" s="1"/>
      <c r="IBI224" s="1"/>
      <c r="IBJ224" s="1"/>
      <c r="IBK224" s="1"/>
      <c r="IBL224" s="1"/>
      <c r="IBM224" s="1"/>
      <c r="IBN224" s="1"/>
      <c r="IBO224" s="1"/>
      <c r="IBP224" s="1"/>
      <c r="IBQ224" s="1"/>
      <c r="IBR224" s="1"/>
      <c r="IBS224" s="1"/>
      <c r="IBT224" s="1"/>
      <c r="IBU224" s="1"/>
      <c r="IBV224" s="1"/>
      <c r="IBW224" s="1"/>
      <c r="IBX224" s="1"/>
      <c r="IBY224" s="1"/>
      <c r="IBZ224" s="1"/>
      <c r="ICA224" s="1"/>
      <c r="ICB224" s="1"/>
      <c r="ICC224" s="1"/>
      <c r="ICD224" s="1"/>
      <c r="ICE224" s="1"/>
      <c r="ICF224" s="1"/>
      <c r="ICG224" s="1"/>
      <c r="ICH224" s="1"/>
      <c r="ICI224" s="1"/>
      <c r="ICJ224" s="1"/>
      <c r="ICK224" s="1"/>
      <c r="ICL224" s="1"/>
      <c r="ICM224" s="1"/>
      <c r="ICN224" s="1"/>
      <c r="ICO224" s="1"/>
      <c r="ICP224" s="1"/>
      <c r="ICQ224" s="1"/>
      <c r="ICR224" s="1"/>
      <c r="ICS224" s="1"/>
      <c r="ICT224" s="1"/>
      <c r="ICU224" s="1"/>
      <c r="ICV224" s="1"/>
      <c r="ICW224" s="1"/>
      <c r="ICX224" s="1"/>
      <c r="ICY224" s="1"/>
      <c r="ICZ224" s="1"/>
      <c r="IDA224" s="1"/>
      <c r="IDB224" s="1"/>
      <c r="IDC224" s="1"/>
      <c r="IDD224" s="1"/>
      <c r="IDE224" s="1"/>
      <c r="IDF224" s="1"/>
      <c r="IDG224" s="1"/>
      <c r="IDH224" s="1"/>
      <c r="IDI224" s="1"/>
      <c r="IDJ224" s="1"/>
      <c r="IDK224" s="1"/>
      <c r="IDL224" s="1"/>
      <c r="IDM224" s="1"/>
      <c r="IDN224" s="1"/>
      <c r="IDO224" s="1"/>
      <c r="IDP224" s="1"/>
      <c r="IDQ224" s="1"/>
      <c r="IDR224" s="1"/>
      <c r="IDS224" s="1"/>
      <c r="IDT224" s="1"/>
      <c r="IDU224" s="1"/>
      <c r="IDV224" s="1"/>
      <c r="IDW224" s="1"/>
      <c r="IDX224" s="1"/>
      <c r="IDY224" s="1"/>
      <c r="IDZ224" s="1"/>
      <c r="IEA224" s="1"/>
      <c r="IEB224" s="1"/>
      <c r="IEC224" s="1"/>
      <c r="IED224" s="1"/>
      <c r="IEE224" s="1"/>
      <c r="IEF224" s="1"/>
      <c r="IEG224" s="1"/>
      <c r="IEH224" s="1"/>
      <c r="IEI224" s="1"/>
      <c r="IEJ224" s="1"/>
      <c r="IEK224" s="1"/>
      <c r="IEL224" s="1"/>
      <c r="IEM224" s="1"/>
      <c r="IEN224" s="1"/>
      <c r="IEO224" s="1"/>
      <c r="IEP224" s="1"/>
      <c r="IEQ224" s="1"/>
      <c r="IER224" s="1"/>
      <c r="IES224" s="1"/>
      <c r="IET224" s="1"/>
      <c r="IEU224" s="1"/>
      <c r="IEV224" s="1"/>
      <c r="IEW224" s="1"/>
      <c r="IEX224" s="1"/>
      <c r="IEY224" s="1"/>
      <c r="IEZ224" s="1"/>
      <c r="IFA224" s="1"/>
      <c r="IFB224" s="1"/>
      <c r="IFC224" s="1"/>
      <c r="IFD224" s="1"/>
      <c r="IFE224" s="1"/>
      <c r="IFF224" s="1"/>
      <c r="IFG224" s="1"/>
      <c r="IFH224" s="1"/>
      <c r="IFI224" s="1"/>
      <c r="IFJ224" s="1"/>
      <c r="IFK224" s="1"/>
      <c r="IFL224" s="1"/>
      <c r="IFM224" s="1"/>
      <c r="IFN224" s="1"/>
      <c r="IFO224" s="1"/>
      <c r="IFP224" s="1"/>
      <c r="IFQ224" s="1"/>
      <c r="IFR224" s="1"/>
      <c r="IFS224" s="1"/>
      <c r="IFT224" s="1"/>
      <c r="IFU224" s="1"/>
      <c r="IFV224" s="1"/>
      <c r="IFW224" s="1"/>
      <c r="IFX224" s="1"/>
      <c r="IFY224" s="1"/>
      <c r="IFZ224" s="1"/>
      <c r="IGA224" s="1"/>
      <c r="IGB224" s="1"/>
      <c r="IGC224" s="1"/>
      <c r="IGD224" s="1"/>
      <c r="IGE224" s="1"/>
      <c r="IGF224" s="1"/>
      <c r="IGG224" s="1"/>
      <c r="IGH224" s="1"/>
      <c r="IGI224" s="1"/>
      <c r="IGJ224" s="1"/>
      <c r="IGK224" s="1"/>
      <c r="IGL224" s="1"/>
      <c r="IGM224" s="1"/>
      <c r="IGN224" s="1"/>
      <c r="IGO224" s="1"/>
      <c r="IGP224" s="1"/>
      <c r="IGQ224" s="1"/>
      <c r="IGR224" s="1"/>
      <c r="IGS224" s="1"/>
      <c r="IGT224" s="1"/>
      <c r="IGU224" s="1"/>
      <c r="IGV224" s="1"/>
      <c r="IGW224" s="1"/>
      <c r="IGX224" s="1"/>
      <c r="IGY224" s="1"/>
      <c r="IGZ224" s="1"/>
      <c r="IHA224" s="1"/>
      <c r="IHB224" s="1"/>
      <c r="IHC224" s="1"/>
      <c r="IHD224" s="1"/>
      <c r="IHE224" s="1"/>
      <c r="IHF224" s="1"/>
      <c r="IHG224" s="1"/>
      <c r="IHH224" s="1"/>
      <c r="IHI224" s="1"/>
      <c r="IHJ224" s="1"/>
      <c r="IHK224" s="1"/>
      <c r="IHL224" s="1"/>
      <c r="IHM224" s="1"/>
      <c r="IHN224" s="1"/>
      <c r="IHO224" s="1"/>
      <c r="IHP224" s="1"/>
      <c r="IHQ224" s="1"/>
      <c r="IHR224" s="1"/>
      <c r="IHS224" s="1"/>
      <c r="IHT224" s="1"/>
      <c r="IHU224" s="1"/>
      <c r="IHV224" s="1"/>
      <c r="IHW224" s="1"/>
      <c r="IHX224" s="1"/>
      <c r="IHY224" s="1"/>
      <c r="IHZ224" s="1"/>
      <c r="IIA224" s="1"/>
      <c r="IIB224" s="1"/>
      <c r="IIC224" s="1"/>
      <c r="IID224" s="1"/>
      <c r="IIE224" s="1"/>
      <c r="IIF224" s="1"/>
      <c r="IIG224" s="1"/>
      <c r="IIH224" s="1"/>
      <c r="III224" s="1"/>
      <c r="IIJ224" s="1"/>
      <c r="IIK224" s="1"/>
      <c r="IIL224" s="1"/>
      <c r="IIM224" s="1"/>
      <c r="IIN224" s="1"/>
      <c r="IIO224" s="1"/>
      <c r="IIP224" s="1"/>
      <c r="IIQ224" s="1"/>
      <c r="IIR224" s="1"/>
      <c r="IIS224" s="1"/>
      <c r="IIT224" s="1"/>
      <c r="IIU224" s="1"/>
      <c r="IIV224" s="1"/>
      <c r="IIW224" s="1"/>
      <c r="IIX224" s="1"/>
      <c r="IIY224" s="1"/>
      <c r="IIZ224" s="1"/>
      <c r="IJA224" s="1"/>
      <c r="IJB224" s="1"/>
      <c r="IJC224" s="1"/>
      <c r="IJD224" s="1"/>
      <c r="IJE224" s="1"/>
      <c r="IJF224" s="1"/>
      <c r="IJG224" s="1"/>
      <c r="IJH224" s="1"/>
      <c r="IJI224" s="1"/>
      <c r="IJJ224" s="1"/>
      <c r="IJK224" s="1"/>
      <c r="IJL224" s="1"/>
      <c r="IJM224" s="1"/>
      <c r="IJN224" s="1"/>
      <c r="IJO224" s="1"/>
      <c r="IJP224" s="1"/>
      <c r="IJQ224" s="1"/>
      <c r="IJR224" s="1"/>
      <c r="IJS224" s="1"/>
      <c r="IJT224" s="1"/>
      <c r="IJU224" s="1"/>
      <c r="IJV224" s="1"/>
      <c r="IJW224" s="1"/>
      <c r="IJX224" s="1"/>
      <c r="IJY224" s="1"/>
      <c r="IJZ224" s="1"/>
      <c r="IKA224" s="1"/>
      <c r="IKB224" s="1"/>
      <c r="IKC224" s="1"/>
      <c r="IKD224" s="1"/>
      <c r="IKE224" s="1"/>
      <c r="IKF224" s="1"/>
      <c r="IKG224" s="1"/>
      <c r="IKH224" s="1"/>
      <c r="IKI224" s="1"/>
      <c r="IKJ224" s="1"/>
      <c r="IKK224" s="1"/>
      <c r="IKL224" s="1"/>
      <c r="IKM224" s="1"/>
      <c r="IKN224" s="1"/>
      <c r="IKO224" s="1"/>
      <c r="IKP224" s="1"/>
      <c r="IKQ224" s="1"/>
      <c r="IKR224" s="1"/>
      <c r="IKS224" s="1"/>
      <c r="IKT224" s="1"/>
      <c r="IKU224" s="1"/>
      <c r="IKV224" s="1"/>
      <c r="IKW224" s="1"/>
      <c r="IKX224" s="1"/>
      <c r="IKY224" s="1"/>
      <c r="IKZ224" s="1"/>
      <c r="ILA224" s="1"/>
      <c r="ILB224" s="1"/>
      <c r="ILC224" s="1"/>
      <c r="ILD224" s="1"/>
      <c r="ILE224" s="1"/>
      <c r="ILF224" s="1"/>
      <c r="ILG224" s="1"/>
      <c r="ILH224" s="1"/>
      <c r="ILI224" s="1"/>
      <c r="ILJ224" s="1"/>
      <c r="ILK224" s="1"/>
      <c r="ILL224" s="1"/>
      <c r="ILM224" s="1"/>
      <c r="ILN224" s="1"/>
      <c r="ILO224" s="1"/>
      <c r="ILP224" s="1"/>
      <c r="ILQ224" s="1"/>
      <c r="ILR224" s="1"/>
      <c r="ILS224" s="1"/>
      <c r="ILT224" s="1"/>
      <c r="ILU224" s="1"/>
      <c r="ILV224" s="1"/>
      <c r="ILW224" s="1"/>
      <c r="ILX224" s="1"/>
      <c r="ILY224" s="1"/>
      <c r="ILZ224" s="1"/>
      <c r="IMA224" s="1"/>
      <c r="IMB224" s="1"/>
      <c r="IMC224" s="1"/>
      <c r="IMD224" s="1"/>
      <c r="IME224" s="1"/>
      <c r="IMF224" s="1"/>
      <c r="IMG224" s="1"/>
      <c r="IMH224" s="1"/>
      <c r="IMI224" s="1"/>
      <c r="IMJ224" s="1"/>
      <c r="IMK224" s="1"/>
      <c r="IML224" s="1"/>
      <c r="IMM224" s="1"/>
      <c r="IMN224" s="1"/>
      <c r="IMO224" s="1"/>
      <c r="IMP224" s="1"/>
      <c r="IMQ224" s="1"/>
      <c r="IMR224" s="1"/>
      <c r="IMS224" s="1"/>
      <c r="IMT224" s="1"/>
      <c r="IMU224" s="1"/>
      <c r="IMV224" s="1"/>
      <c r="IMW224" s="1"/>
      <c r="IMX224" s="1"/>
      <c r="IMY224" s="1"/>
      <c r="IMZ224" s="1"/>
      <c r="INA224" s="1"/>
      <c r="INB224" s="1"/>
      <c r="INC224" s="1"/>
      <c r="IND224" s="1"/>
      <c r="INE224" s="1"/>
      <c r="INF224" s="1"/>
      <c r="ING224" s="1"/>
      <c r="INH224" s="1"/>
      <c r="INI224" s="1"/>
      <c r="INJ224" s="1"/>
      <c r="INK224" s="1"/>
      <c r="INL224" s="1"/>
      <c r="INM224" s="1"/>
      <c r="INN224" s="1"/>
      <c r="INO224" s="1"/>
      <c r="INP224" s="1"/>
      <c r="INQ224" s="1"/>
      <c r="INR224" s="1"/>
      <c r="INS224" s="1"/>
      <c r="INT224" s="1"/>
      <c r="INU224" s="1"/>
      <c r="INV224" s="1"/>
      <c r="INW224" s="1"/>
      <c r="INX224" s="1"/>
      <c r="INY224" s="1"/>
      <c r="INZ224" s="1"/>
      <c r="IOA224" s="1"/>
      <c r="IOB224" s="1"/>
      <c r="IOC224" s="1"/>
      <c r="IOD224" s="1"/>
      <c r="IOE224" s="1"/>
      <c r="IOF224" s="1"/>
      <c r="IOG224" s="1"/>
      <c r="IOH224" s="1"/>
      <c r="IOI224" s="1"/>
      <c r="IOJ224" s="1"/>
      <c r="IOK224" s="1"/>
      <c r="IOL224" s="1"/>
      <c r="IOM224" s="1"/>
      <c r="ION224" s="1"/>
      <c r="IOO224" s="1"/>
      <c r="IOP224" s="1"/>
      <c r="IOQ224" s="1"/>
      <c r="IOR224" s="1"/>
      <c r="IOS224" s="1"/>
      <c r="IOT224" s="1"/>
      <c r="IOU224" s="1"/>
      <c r="IOV224" s="1"/>
      <c r="IOW224" s="1"/>
      <c r="IOX224" s="1"/>
      <c r="IOY224" s="1"/>
      <c r="IOZ224" s="1"/>
      <c r="IPA224" s="1"/>
      <c r="IPB224" s="1"/>
      <c r="IPC224" s="1"/>
      <c r="IPD224" s="1"/>
      <c r="IPE224" s="1"/>
      <c r="IPF224" s="1"/>
      <c r="IPG224" s="1"/>
      <c r="IPH224" s="1"/>
      <c r="IPI224" s="1"/>
      <c r="IPJ224" s="1"/>
      <c r="IPK224" s="1"/>
      <c r="IPL224" s="1"/>
      <c r="IPM224" s="1"/>
      <c r="IPN224" s="1"/>
      <c r="IPO224" s="1"/>
      <c r="IPP224" s="1"/>
      <c r="IPQ224" s="1"/>
      <c r="IPR224" s="1"/>
      <c r="IPS224" s="1"/>
      <c r="IPT224" s="1"/>
      <c r="IPU224" s="1"/>
      <c r="IPV224" s="1"/>
      <c r="IPW224" s="1"/>
      <c r="IPX224" s="1"/>
      <c r="IPY224" s="1"/>
      <c r="IPZ224" s="1"/>
      <c r="IQA224" s="1"/>
      <c r="IQB224" s="1"/>
      <c r="IQC224" s="1"/>
      <c r="IQD224" s="1"/>
      <c r="IQE224" s="1"/>
      <c r="IQF224" s="1"/>
      <c r="IQG224" s="1"/>
      <c r="IQH224" s="1"/>
      <c r="IQI224" s="1"/>
      <c r="IQJ224" s="1"/>
      <c r="IQK224" s="1"/>
      <c r="IQL224" s="1"/>
      <c r="IQM224" s="1"/>
      <c r="IQN224" s="1"/>
      <c r="IQO224" s="1"/>
      <c r="IQP224" s="1"/>
      <c r="IQQ224" s="1"/>
      <c r="IQR224" s="1"/>
      <c r="IQS224" s="1"/>
      <c r="IQT224" s="1"/>
      <c r="IQU224" s="1"/>
      <c r="IQV224" s="1"/>
      <c r="IQW224" s="1"/>
      <c r="IQX224" s="1"/>
      <c r="IQY224" s="1"/>
      <c r="IQZ224" s="1"/>
      <c r="IRA224" s="1"/>
      <c r="IRB224" s="1"/>
      <c r="IRC224" s="1"/>
      <c r="IRD224" s="1"/>
      <c r="IRE224" s="1"/>
      <c r="IRF224" s="1"/>
      <c r="IRG224" s="1"/>
      <c r="IRH224" s="1"/>
      <c r="IRI224" s="1"/>
      <c r="IRJ224" s="1"/>
      <c r="IRK224" s="1"/>
      <c r="IRL224" s="1"/>
      <c r="IRM224" s="1"/>
      <c r="IRN224" s="1"/>
      <c r="IRO224" s="1"/>
      <c r="IRP224" s="1"/>
      <c r="IRQ224" s="1"/>
      <c r="IRR224" s="1"/>
      <c r="IRS224" s="1"/>
      <c r="IRT224" s="1"/>
      <c r="IRU224" s="1"/>
      <c r="IRV224" s="1"/>
      <c r="IRW224" s="1"/>
      <c r="IRX224" s="1"/>
      <c r="IRY224" s="1"/>
      <c r="IRZ224" s="1"/>
      <c r="ISA224" s="1"/>
      <c r="ISB224" s="1"/>
      <c r="ISC224" s="1"/>
      <c r="ISD224" s="1"/>
      <c r="ISE224" s="1"/>
      <c r="ISF224" s="1"/>
      <c r="ISG224" s="1"/>
      <c r="ISH224" s="1"/>
      <c r="ISI224" s="1"/>
      <c r="ISJ224" s="1"/>
      <c r="ISK224" s="1"/>
      <c r="ISL224" s="1"/>
      <c r="ISM224" s="1"/>
      <c r="ISN224" s="1"/>
      <c r="ISO224" s="1"/>
      <c r="ISP224" s="1"/>
      <c r="ISQ224" s="1"/>
      <c r="ISR224" s="1"/>
      <c r="ISS224" s="1"/>
      <c r="IST224" s="1"/>
      <c r="ISU224" s="1"/>
      <c r="ISV224" s="1"/>
      <c r="ISW224" s="1"/>
      <c r="ISX224" s="1"/>
      <c r="ISY224" s="1"/>
      <c r="ISZ224" s="1"/>
      <c r="ITA224" s="1"/>
      <c r="ITB224" s="1"/>
      <c r="ITC224" s="1"/>
      <c r="ITD224" s="1"/>
      <c r="ITE224" s="1"/>
      <c r="ITF224" s="1"/>
      <c r="ITG224" s="1"/>
      <c r="ITH224" s="1"/>
      <c r="ITI224" s="1"/>
      <c r="ITJ224" s="1"/>
      <c r="ITK224" s="1"/>
      <c r="ITL224" s="1"/>
      <c r="ITM224" s="1"/>
      <c r="ITN224" s="1"/>
      <c r="ITO224" s="1"/>
      <c r="ITP224" s="1"/>
      <c r="ITQ224" s="1"/>
      <c r="ITR224" s="1"/>
      <c r="ITS224" s="1"/>
      <c r="ITT224" s="1"/>
      <c r="ITU224" s="1"/>
      <c r="ITV224" s="1"/>
      <c r="ITW224" s="1"/>
      <c r="ITX224" s="1"/>
      <c r="ITY224" s="1"/>
      <c r="ITZ224" s="1"/>
      <c r="IUA224" s="1"/>
      <c r="IUB224" s="1"/>
      <c r="IUC224" s="1"/>
      <c r="IUD224" s="1"/>
      <c r="IUE224" s="1"/>
      <c r="IUF224" s="1"/>
      <c r="IUG224" s="1"/>
      <c r="IUH224" s="1"/>
      <c r="IUI224" s="1"/>
      <c r="IUJ224" s="1"/>
      <c r="IUK224" s="1"/>
      <c r="IUL224" s="1"/>
      <c r="IUM224" s="1"/>
      <c r="IUN224" s="1"/>
      <c r="IUO224" s="1"/>
      <c r="IUP224" s="1"/>
      <c r="IUQ224" s="1"/>
      <c r="IUR224" s="1"/>
      <c r="IUS224" s="1"/>
      <c r="IUT224" s="1"/>
      <c r="IUU224" s="1"/>
      <c r="IUV224" s="1"/>
      <c r="IUW224" s="1"/>
      <c r="IUX224" s="1"/>
      <c r="IUY224" s="1"/>
      <c r="IUZ224" s="1"/>
      <c r="IVA224" s="1"/>
      <c r="IVB224" s="1"/>
      <c r="IVC224" s="1"/>
      <c r="IVD224" s="1"/>
      <c r="IVE224" s="1"/>
      <c r="IVF224" s="1"/>
      <c r="IVG224" s="1"/>
      <c r="IVH224" s="1"/>
      <c r="IVI224" s="1"/>
      <c r="IVJ224" s="1"/>
      <c r="IVK224" s="1"/>
      <c r="IVL224" s="1"/>
      <c r="IVM224" s="1"/>
      <c r="IVN224" s="1"/>
      <c r="IVO224" s="1"/>
      <c r="IVP224" s="1"/>
      <c r="IVQ224" s="1"/>
      <c r="IVR224" s="1"/>
      <c r="IVS224" s="1"/>
      <c r="IVT224" s="1"/>
      <c r="IVU224" s="1"/>
      <c r="IVV224" s="1"/>
      <c r="IVW224" s="1"/>
      <c r="IVX224" s="1"/>
      <c r="IVY224" s="1"/>
      <c r="IVZ224" s="1"/>
      <c r="IWA224" s="1"/>
      <c r="IWB224" s="1"/>
      <c r="IWC224" s="1"/>
      <c r="IWD224" s="1"/>
      <c r="IWE224" s="1"/>
      <c r="IWF224" s="1"/>
      <c r="IWG224" s="1"/>
      <c r="IWH224" s="1"/>
      <c r="IWI224" s="1"/>
      <c r="IWJ224" s="1"/>
      <c r="IWK224" s="1"/>
      <c r="IWL224" s="1"/>
      <c r="IWM224" s="1"/>
      <c r="IWN224" s="1"/>
      <c r="IWO224" s="1"/>
      <c r="IWP224" s="1"/>
      <c r="IWQ224" s="1"/>
      <c r="IWR224" s="1"/>
      <c r="IWS224" s="1"/>
      <c r="IWT224" s="1"/>
      <c r="IWU224" s="1"/>
      <c r="IWV224" s="1"/>
      <c r="IWW224" s="1"/>
      <c r="IWX224" s="1"/>
      <c r="IWY224" s="1"/>
      <c r="IWZ224" s="1"/>
      <c r="IXA224" s="1"/>
      <c r="IXB224" s="1"/>
      <c r="IXC224" s="1"/>
      <c r="IXD224" s="1"/>
      <c r="IXE224" s="1"/>
      <c r="IXF224" s="1"/>
      <c r="IXG224" s="1"/>
      <c r="IXH224" s="1"/>
      <c r="IXI224" s="1"/>
      <c r="IXJ224" s="1"/>
      <c r="IXK224" s="1"/>
      <c r="IXL224" s="1"/>
      <c r="IXM224" s="1"/>
      <c r="IXN224" s="1"/>
      <c r="IXO224" s="1"/>
      <c r="IXP224" s="1"/>
      <c r="IXQ224" s="1"/>
      <c r="IXR224" s="1"/>
      <c r="IXS224" s="1"/>
      <c r="IXT224" s="1"/>
      <c r="IXU224" s="1"/>
      <c r="IXV224" s="1"/>
      <c r="IXW224" s="1"/>
      <c r="IXX224" s="1"/>
      <c r="IXY224" s="1"/>
      <c r="IXZ224" s="1"/>
      <c r="IYA224" s="1"/>
      <c r="IYB224" s="1"/>
      <c r="IYC224" s="1"/>
      <c r="IYD224" s="1"/>
      <c r="IYE224" s="1"/>
      <c r="IYF224" s="1"/>
      <c r="IYG224" s="1"/>
      <c r="IYH224" s="1"/>
      <c r="IYI224" s="1"/>
      <c r="IYJ224" s="1"/>
      <c r="IYK224" s="1"/>
      <c r="IYL224" s="1"/>
      <c r="IYM224" s="1"/>
      <c r="IYN224" s="1"/>
      <c r="IYO224" s="1"/>
      <c r="IYP224" s="1"/>
      <c r="IYQ224" s="1"/>
      <c r="IYR224" s="1"/>
      <c r="IYS224" s="1"/>
      <c r="IYT224" s="1"/>
      <c r="IYU224" s="1"/>
      <c r="IYV224" s="1"/>
      <c r="IYW224" s="1"/>
      <c r="IYX224" s="1"/>
      <c r="IYY224" s="1"/>
      <c r="IYZ224" s="1"/>
      <c r="IZA224" s="1"/>
      <c r="IZB224" s="1"/>
      <c r="IZC224" s="1"/>
      <c r="IZD224" s="1"/>
      <c r="IZE224" s="1"/>
      <c r="IZF224" s="1"/>
      <c r="IZG224" s="1"/>
      <c r="IZH224" s="1"/>
      <c r="IZI224" s="1"/>
      <c r="IZJ224" s="1"/>
      <c r="IZK224" s="1"/>
      <c r="IZL224" s="1"/>
      <c r="IZM224" s="1"/>
      <c r="IZN224" s="1"/>
      <c r="IZO224" s="1"/>
      <c r="IZP224" s="1"/>
      <c r="IZQ224" s="1"/>
      <c r="IZR224" s="1"/>
      <c r="IZS224" s="1"/>
      <c r="IZT224" s="1"/>
      <c r="IZU224" s="1"/>
      <c r="IZV224" s="1"/>
      <c r="IZW224" s="1"/>
      <c r="IZX224" s="1"/>
      <c r="IZY224" s="1"/>
      <c r="IZZ224" s="1"/>
      <c r="JAA224" s="1"/>
      <c r="JAB224" s="1"/>
      <c r="JAC224" s="1"/>
      <c r="JAD224" s="1"/>
      <c r="JAE224" s="1"/>
      <c r="JAF224" s="1"/>
      <c r="JAG224" s="1"/>
      <c r="JAH224" s="1"/>
      <c r="JAI224" s="1"/>
      <c r="JAJ224" s="1"/>
      <c r="JAK224" s="1"/>
      <c r="JAL224" s="1"/>
      <c r="JAM224" s="1"/>
      <c r="JAN224" s="1"/>
      <c r="JAO224" s="1"/>
      <c r="JAP224" s="1"/>
      <c r="JAQ224" s="1"/>
      <c r="JAR224" s="1"/>
      <c r="JAS224" s="1"/>
      <c r="JAT224" s="1"/>
      <c r="JAU224" s="1"/>
      <c r="JAV224" s="1"/>
      <c r="JAW224" s="1"/>
      <c r="JAX224" s="1"/>
      <c r="JAY224" s="1"/>
      <c r="JAZ224" s="1"/>
      <c r="JBA224" s="1"/>
      <c r="JBB224" s="1"/>
      <c r="JBC224" s="1"/>
      <c r="JBD224" s="1"/>
      <c r="JBE224" s="1"/>
      <c r="JBF224" s="1"/>
      <c r="JBG224" s="1"/>
      <c r="JBH224" s="1"/>
      <c r="JBI224" s="1"/>
      <c r="JBJ224" s="1"/>
      <c r="JBK224" s="1"/>
      <c r="JBL224" s="1"/>
      <c r="JBM224" s="1"/>
      <c r="JBN224" s="1"/>
      <c r="JBO224" s="1"/>
      <c r="JBP224" s="1"/>
      <c r="JBQ224" s="1"/>
      <c r="JBR224" s="1"/>
      <c r="JBS224" s="1"/>
      <c r="JBT224" s="1"/>
      <c r="JBU224" s="1"/>
      <c r="JBV224" s="1"/>
      <c r="JBW224" s="1"/>
      <c r="JBX224" s="1"/>
      <c r="JBY224" s="1"/>
      <c r="JBZ224" s="1"/>
      <c r="JCA224" s="1"/>
      <c r="JCB224" s="1"/>
      <c r="JCC224" s="1"/>
      <c r="JCD224" s="1"/>
      <c r="JCE224" s="1"/>
      <c r="JCF224" s="1"/>
      <c r="JCG224" s="1"/>
      <c r="JCH224" s="1"/>
      <c r="JCI224" s="1"/>
      <c r="JCJ224" s="1"/>
      <c r="JCK224" s="1"/>
      <c r="JCL224" s="1"/>
      <c r="JCM224" s="1"/>
      <c r="JCN224" s="1"/>
      <c r="JCO224" s="1"/>
      <c r="JCP224" s="1"/>
      <c r="JCQ224" s="1"/>
      <c r="JCR224" s="1"/>
      <c r="JCS224" s="1"/>
      <c r="JCT224" s="1"/>
      <c r="JCU224" s="1"/>
      <c r="JCV224" s="1"/>
      <c r="JCW224" s="1"/>
      <c r="JCX224" s="1"/>
      <c r="JCY224" s="1"/>
      <c r="JCZ224" s="1"/>
      <c r="JDA224" s="1"/>
      <c r="JDB224" s="1"/>
      <c r="JDC224" s="1"/>
      <c r="JDD224" s="1"/>
      <c r="JDE224" s="1"/>
      <c r="JDF224" s="1"/>
      <c r="JDG224" s="1"/>
      <c r="JDH224" s="1"/>
      <c r="JDI224" s="1"/>
      <c r="JDJ224" s="1"/>
      <c r="JDK224" s="1"/>
      <c r="JDL224" s="1"/>
      <c r="JDM224" s="1"/>
      <c r="JDN224" s="1"/>
      <c r="JDO224" s="1"/>
      <c r="JDP224" s="1"/>
      <c r="JDQ224" s="1"/>
      <c r="JDR224" s="1"/>
      <c r="JDS224" s="1"/>
      <c r="JDT224" s="1"/>
      <c r="JDU224" s="1"/>
      <c r="JDV224" s="1"/>
      <c r="JDW224" s="1"/>
      <c r="JDX224" s="1"/>
      <c r="JDY224" s="1"/>
      <c r="JDZ224" s="1"/>
      <c r="JEA224" s="1"/>
      <c r="JEB224" s="1"/>
      <c r="JEC224" s="1"/>
      <c r="JED224" s="1"/>
      <c r="JEE224" s="1"/>
      <c r="JEF224" s="1"/>
      <c r="JEG224" s="1"/>
      <c r="JEH224" s="1"/>
      <c r="JEI224" s="1"/>
      <c r="JEJ224" s="1"/>
      <c r="JEK224" s="1"/>
      <c r="JEL224" s="1"/>
      <c r="JEM224" s="1"/>
      <c r="JEN224" s="1"/>
      <c r="JEO224" s="1"/>
      <c r="JEP224" s="1"/>
      <c r="JEQ224" s="1"/>
      <c r="JER224" s="1"/>
      <c r="JES224" s="1"/>
      <c r="JET224" s="1"/>
      <c r="JEU224" s="1"/>
      <c r="JEV224" s="1"/>
      <c r="JEW224" s="1"/>
      <c r="JEX224" s="1"/>
      <c r="JEY224" s="1"/>
      <c r="JEZ224" s="1"/>
      <c r="JFA224" s="1"/>
      <c r="JFB224" s="1"/>
      <c r="JFC224" s="1"/>
      <c r="JFD224" s="1"/>
      <c r="JFE224" s="1"/>
      <c r="JFF224" s="1"/>
      <c r="JFG224" s="1"/>
      <c r="JFH224" s="1"/>
      <c r="JFI224" s="1"/>
      <c r="JFJ224" s="1"/>
      <c r="JFK224" s="1"/>
      <c r="JFL224" s="1"/>
      <c r="JFM224" s="1"/>
      <c r="JFN224" s="1"/>
      <c r="JFO224" s="1"/>
      <c r="JFP224" s="1"/>
      <c r="JFQ224" s="1"/>
      <c r="JFR224" s="1"/>
      <c r="JFS224" s="1"/>
      <c r="JFT224" s="1"/>
      <c r="JFU224" s="1"/>
      <c r="JFV224" s="1"/>
      <c r="JFW224" s="1"/>
      <c r="JFX224" s="1"/>
      <c r="JFY224" s="1"/>
      <c r="JFZ224" s="1"/>
      <c r="JGA224" s="1"/>
      <c r="JGB224" s="1"/>
      <c r="JGC224" s="1"/>
      <c r="JGD224" s="1"/>
      <c r="JGE224" s="1"/>
      <c r="JGF224" s="1"/>
      <c r="JGG224" s="1"/>
      <c r="JGH224" s="1"/>
      <c r="JGI224" s="1"/>
      <c r="JGJ224" s="1"/>
      <c r="JGK224" s="1"/>
      <c r="JGL224" s="1"/>
      <c r="JGM224" s="1"/>
      <c r="JGN224" s="1"/>
      <c r="JGO224" s="1"/>
      <c r="JGP224" s="1"/>
      <c r="JGQ224" s="1"/>
      <c r="JGR224" s="1"/>
      <c r="JGS224" s="1"/>
      <c r="JGT224" s="1"/>
      <c r="JGU224" s="1"/>
      <c r="JGV224" s="1"/>
      <c r="JGW224" s="1"/>
      <c r="JGX224" s="1"/>
      <c r="JGY224" s="1"/>
      <c r="JGZ224" s="1"/>
      <c r="JHA224" s="1"/>
      <c r="JHB224" s="1"/>
      <c r="JHC224" s="1"/>
      <c r="JHD224" s="1"/>
      <c r="JHE224" s="1"/>
      <c r="JHF224" s="1"/>
      <c r="JHG224" s="1"/>
      <c r="JHH224" s="1"/>
      <c r="JHI224" s="1"/>
      <c r="JHJ224" s="1"/>
      <c r="JHK224" s="1"/>
      <c r="JHL224" s="1"/>
      <c r="JHM224" s="1"/>
      <c r="JHN224" s="1"/>
      <c r="JHO224" s="1"/>
      <c r="JHP224" s="1"/>
      <c r="JHQ224" s="1"/>
      <c r="JHR224" s="1"/>
      <c r="JHS224" s="1"/>
      <c r="JHT224" s="1"/>
      <c r="JHU224" s="1"/>
      <c r="JHV224" s="1"/>
      <c r="JHW224" s="1"/>
      <c r="JHX224" s="1"/>
      <c r="JHY224" s="1"/>
      <c r="JHZ224" s="1"/>
      <c r="JIA224" s="1"/>
      <c r="JIB224" s="1"/>
      <c r="JIC224" s="1"/>
      <c r="JID224" s="1"/>
      <c r="JIE224" s="1"/>
      <c r="JIF224" s="1"/>
      <c r="JIG224" s="1"/>
      <c r="JIH224" s="1"/>
      <c r="JII224" s="1"/>
      <c r="JIJ224" s="1"/>
      <c r="JIK224" s="1"/>
      <c r="JIL224" s="1"/>
      <c r="JIM224" s="1"/>
      <c r="JIN224" s="1"/>
      <c r="JIO224" s="1"/>
      <c r="JIP224" s="1"/>
      <c r="JIQ224" s="1"/>
      <c r="JIR224" s="1"/>
      <c r="JIS224" s="1"/>
      <c r="JIT224" s="1"/>
      <c r="JIU224" s="1"/>
      <c r="JIV224" s="1"/>
      <c r="JIW224" s="1"/>
      <c r="JIX224" s="1"/>
      <c r="JIY224" s="1"/>
      <c r="JIZ224" s="1"/>
      <c r="JJA224" s="1"/>
      <c r="JJB224" s="1"/>
      <c r="JJC224" s="1"/>
      <c r="JJD224" s="1"/>
      <c r="JJE224" s="1"/>
      <c r="JJF224" s="1"/>
      <c r="JJG224" s="1"/>
      <c r="JJH224" s="1"/>
      <c r="JJI224" s="1"/>
      <c r="JJJ224" s="1"/>
      <c r="JJK224" s="1"/>
      <c r="JJL224" s="1"/>
      <c r="JJM224" s="1"/>
      <c r="JJN224" s="1"/>
      <c r="JJO224" s="1"/>
      <c r="JJP224" s="1"/>
      <c r="JJQ224" s="1"/>
      <c r="JJR224" s="1"/>
      <c r="JJS224" s="1"/>
      <c r="JJT224" s="1"/>
      <c r="JJU224" s="1"/>
      <c r="JJV224" s="1"/>
      <c r="JJW224" s="1"/>
      <c r="JJX224" s="1"/>
      <c r="JJY224" s="1"/>
      <c r="JJZ224" s="1"/>
      <c r="JKA224" s="1"/>
      <c r="JKB224" s="1"/>
      <c r="JKC224" s="1"/>
      <c r="JKD224" s="1"/>
      <c r="JKE224" s="1"/>
      <c r="JKF224" s="1"/>
      <c r="JKG224" s="1"/>
      <c r="JKH224" s="1"/>
      <c r="JKI224" s="1"/>
      <c r="JKJ224" s="1"/>
      <c r="JKK224" s="1"/>
      <c r="JKL224" s="1"/>
      <c r="JKM224" s="1"/>
      <c r="JKN224" s="1"/>
      <c r="JKO224" s="1"/>
      <c r="JKP224" s="1"/>
      <c r="JKQ224" s="1"/>
      <c r="JKR224" s="1"/>
      <c r="JKS224" s="1"/>
      <c r="JKT224" s="1"/>
      <c r="JKU224" s="1"/>
      <c r="JKV224" s="1"/>
      <c r="JKW224" s="1"/>
      <c r="JKX224" s="1"/>
      <c r="JKY224" s="1"/>
      <c r="JKZ224" s="1"/>
      <c r="JLA224" s="1"/>
      <c r="JLB224" s="1"/>
      <c r="JLC224" s="1"/>
      <c r="JLD224" s="1"/>
      <c r="JLE224" s="1"/>
      <c r="JLF224" s="1"/>
      <c r="JLG224" s="1"/>
      <c r="JLH224" s="1"/>
      <c r="JLI224" s="1"/>
      <c r="JLJ224" s="1"/>
      <c r="JLK224" s="1"/>
      <c r="JLL224" s="1"/>
      <c r="JLM224" s="1"/>
      <c r="JLN224" s="1"/>
      <c r="JLO224" s="1"/>
      <c r="JLP224" s="1"/>
      <c r="JLQ224" s="1"/>
      <c r="JLR224" s="1"/>
      <c r="JLS224" s="1"/>
      <c r="JLT224" s="1"/>
      <c r="JLU224" s="1"/>
      <c r="JLV224" s="1"/>
      <c r="JLW224" s="1"/>
      <c r="JLX224" s="1"/>
      <c r="JLY224" s="1"/>
      <c r="JLZ224" s="1"/>
      <c r="JMA224" s="1"/>
      <c r="JMB224" s="1"/>
      <c r="JMC224" s="1"/>
      <c r="JMD224" s="1"/>
      <c r="JME224" s="1"/>
      <c r="JMF224" s="1"/>
      <c r="JMG224" s="1"/>
      <c r="JMH224" s="1"/>
      <c r="JMI224" s="1"/>
      <c r="JMJ224" s="1"/>
      <c r="JMK224" s="1"/>
      <c r="JML224" s="1"/>
      <c r="JMM224" s="1"/>
      <c r="JMN224" s="1"/>
      <c r="JMO224" s="1"/>
      <c r="JMP224" s="1"/>
      <c r="JMQ224" s="1"/>
      <c r="JMR224" s="1"/>
      <c r="JMS224" s="1"/>
      <c r="JMT224" s="1"/>
      <c r="JMU224" s="1"/>
      <c r="JMV224" s="1"/>
      <c r="JMW224" s="1"/>
      <c r="JMX224" s="1"/>
      <c r="JMY224" s="1"/>
      <c r="JMZ224" s="1"/>
      <c r="JNA224" s="1"/>
      <c r="JNB224" s="1"/>
      <c r="JNC224" s="1"/>
      <c r="JND224" s="1"/>
      <c r="JNE224" s="1"/>
      <c r="JNF224" s="1"/>
      <c r="JNG224" s="1"/>
      <c r="JNH224" s="1"/>
      <c r="JNI224" s="1"/>
      <c r="JNJ224" s="1"/>
      <c r="JNK224" s="1"/>
      <c r="JNL224" s="1"/>
      <c r="JNM224" s="1"/>
      <c r="JNN224" s="1"/>
      <c r="JNO224" s="1"/>
      <c r="JNP224" s="1"/>
      <c r="JNQ224" s="1"/>
      <c r="JNR224" s="1"/>
      <c r="JNS224" s="1"/>
      <c r="JNT224" s="1"/>
      <c r="JNU224" s="1"/>
      <c r="JNV224" s="1"/>
      <c r="JNW224" s="1"/>
      <c r="JNX224" s="1"/>
      <c r="JNY224" s="1"/>
      <c r="JNZ224" s="1"/>
      <c r="JOA224" s="1"/>
      <c r="JOB224" s="1"/>
      <c r="JOC224" s="1"/>
      <c r="JOD224" s="1"/>
      <c r="JOE224" s="1"/>
      <c r="JOF224" s="1"/>
      <c r="JOG224" s="1"/>
      <c r="JOH224" s="1"/>
      <c r="JOI224" s="1"/>
      <c r="JOJ224" s="1"/>
      <c r="JOK224" s="1"/>
      <c r="JOL224" s="1"/>
      <c r="JOM224" s="1"/>
      <c r="JON224" s="1"/>
      <c r="JOO224" s="1"/>
      <c r="JOP224" s="1"/>
      <c r="JOQ224" s="1"/>
      <c r="JOR224" s="1"/>
      <c r="JOS224" s="1"/>
      <c r="JOT224" s="1"/>
      <c r="JOU224" s="1"/>
      <c r="JOV224" s="1"/>
      <c r="JOW224" s="1"/>
      <c r="JOX224" s="1"/>
      <c r="JOY224" s="1"/>
      <c r="JOZ224" s="1"/>
      <c r="JPA224" s="1"/>
      <c r="JPB224" s="1"/>
      <c r="JPC224" s="1"/>
      <c r="JPD224" s="1"/>
      <c r="JPE224" s="1"/>
      <c r="JPF224" s="1"/>
      <c r="JPG224" s="1"/>
      <c r="JPH224" s="1"/>
      <c r="JPI224" s="1"/>
      <c r="JPJ224" s="1"/>
      <c r="JPK224" s="1"/>
      <c r="JPL224" s="1"/>
      <c r="JPM224" s="1"/>
      <c r="JPN224" s="1"/>
      <c r="JPO224" s="1"/>
      <c r="JPP224" s="1"/>
      <c r="JPQ224" s="1"/>
      <c r="JPR224" s="1"/>
      <c r="JPS224" s="1"/>
      <c r="JPT224" s="1"/>
      <c r="JPU224" s="1"/>
      <c r="JPV224" s="1"/>
      <c r="JPW224" s="1"/>
      <c r="JPX224" s="1"/>
      <c r="JPY224" s="1"/>
      <c r="JPZ224" s="1"/>
      <c r="JQA224" s="1"/>
      <c r="JQB224" s="1"/>
      <c r="JQC224" s="1"/>
      <c r="JQD224" s="1"/>
      <c r="JQE224" s="1"/>
      <c r="JQF224" s="1"/>
      <c r="JQG224" s="1"/>
      <c r="JQH224" s="1"/>
      <c r="JQI224" s="1"/>
      <c r="JQJ224" s="1"/>
      <c r="JQK224" s="1"/>
      <c r="JQL224" s="1"/>
      <c r="JQM224" s="1"/>
      <c r="JQN224" s="1"/>
      <c r="JQO224" s="1"/>
      <c r="JQP224" s="1"/>
      <c r="JQQ224" s="1"/>
      <c r="JQR224" s="1"/>
      <c r="JQS224" s="1"/>
      <c r="JQT224" s="1"/>
      <c r="JQU224" s="1"/>
      <c r="JQV224" s="1"/>
      <c r="JQW224" s="1"/>
      <c r="JQX224" s="1"/>
      <c r="JQY224" s="1"/>
      <c r="JQZ224" s="1"/>
      <c r="JRA224" s="1"/>
      <c r="JRB224" s="1"/>
      <c r="JRC224" s="1"/>
      <c r="JRD224" s="1"/>
      <c r="JRE224" s="1"/>
      <c r="JRF224" s="1"/>
      <c r="JRG224" s="1"/>
      <c r="JRH224" s="1"/>
      <c r="JRI224" s="1"/>
      <c r="JRJ224" s="1"/>
      <c r="JRK224" s="1"/>
      <c r="JRL224" s="1"/>
      <c r="JRM224" s="1"/>
      <c r="JRN224" s="1"/>
      <c r="JRO224" s="1"/>
      <c r="JRP224" s="1"/>
      <c r="JRQ224" s="1"/>
      <c r="JRR224" s="1"/>
      <c r="JRS224" s="1"/>
      <c r="JRT224" s="1"/>
      <c r="JRU224" s="1"/>
      <c r="JRV224" s="1"/>
      <c r="JRW224" s="1"/>
      <c r="JRX224" s="1"/>
      <c r="JRY224" s="1"/>
      <c r="JRZ224" s="1"/>
      <c r="JSA224" s="1"/>
      <c r="JSB224" s="1"/>
      <c r="JSC224" s="1"/>
      <c r="JSD224" s="1"/>
      <c r="JSE224" s="1"/>
      <c r="JSF224" s="1"/>
      <c r="JSG224" s="1"/>
      <c r="JSH224" s="1"/>
      <c r="JSI224" s="1"/>
      <c r="JSJ224" s="1"/>
      <c r="JSK224" s="1"/>
      <c r="JSL224" s="1"/>
      <c r="JSM224" s="1"/>
      <c r="JSN224" s="1"/>
      <c r="JSO224" s="1"/>
      <c r="JSP224" s="1"/>
      <c r="JSQ224" s="1"/>
      <c r="JSR224" s="1"/>
      <c r="JSS224" s="1"/>
      <c r="JST224" s="1"/>
      <c r="JSU224" s="1"/>
      <c r="JSV224" s="1"/>
      <c r="JSW224" s="1"/>
      <c r="JSX224" s="1"/>
      <c r="JSY224" s="1"/>
      <c r="JSZ224" s="1"/>
      <c r="JTA224" s="1"/>
      <c r="JTB224" s="1"/>
      <c r="JTC224" s="1"/>
      <c r="JTD224" s="1"/>
      <c r="JTE224" s="1"/>
      <c r="JTF224" s="1"/>
      <c r="JTG224" s="1"/>
      <c r="JTH224" s="1"/>
      <c r="JTI224" s="1"/>
      <c r="JTJ224" s="1"/>
      <c r="JTK224" s="1"/>
      <c r="JTL224" s="1"/>
      <c r="JTM224" s="1"/>
      <c r="JTN224" s="1"/>
      <c r="JTO224" s="1"/>
      <c r="JTP224" s="1"/>
      <c r="JTQ224" s="1"/>
      <c r="JTR224" s="1"/>
      <c r="JTS224" s="1"/>
      <c r="JTT224" s="1"/>
      <c r="JTU224" s="1"/>
      <c r="JTV224" s="1"/>
      <c r="JTW224" s="1"/>
      <c r="JTX224" s="1"/>
      <c r="JTY224" s="1"/>
      <c r="JTZ224" s="1"/>
      <c r="JUA224" s="1"/>
      <c r="JUB224" s="1"/>
      <c r="JUC224" s="1"/>
      <c r="JUD224" s="1"/>
      <c r="JUE224" s="1"/>
      <c r="JUF224" s="1"/>
      <c r="JUG224" s="1"/>
      <c r="JUH224" s="1"/>
      <c r="JUI224" s="1"/>
      <c r="JUJ224" s="1"/>
      <c r="JUK224" s="1"/>
      <c r="JUL224" s="1"/>
      <c r="JUM224" s="1"/>
      <c r="JUN224" s="1"/>
      <c r="JUO224" s="1"/>
      <c r="JUP224" s="1"/>
      <c r="JUQ224" s="1"/>
      <c r="JUR224" s="1"/>
      <c r="JUS224" s="1"/>
      <c r="JUT224" s="1"/>
      <c r="JUU224" s="1"/>
      <c r="JUV224" s="1"/>
      <c r="JUW224" s="1"/>
      <c r="JUX224" s="1"/>
      <c r="JUY224" s="1"/>
      <c r="JUZ224" s="1"/>
      <c r="JVA224" s="1"/>
      <c r="JVB224" s="1"/>
      <c r="JVC224" s="1"/>
      <c r="JVD224" s="1"/>
      <c r="JVE224" s="1"/>
      <c r="JVF224" s="1"/>
      <c r="JVG224" s="1"/>
      <c r="JVH224" s="1"/>
      <c r="JVI224" s="1"/>
      <c r="JVJ224" s="1"/>
      <c r="JVK224" s="1"/>
      <c r="JVL224" s="1"/>
      <c r="JVM224" s="1"/>
      <c r="JVN224" s="1"/>
      <c r="JVO224" s="1"/>
      <c r="JVP224" s="1"/>
      <c r="JVQ224" s="1"/>
      <c r="JVR224" s="1"/>
      <c r="JVS224" s="1"/>
      <c r="JVT224" s="1"/>
      <c r="JVU224" s="1"/>
      <c r="JVV224" s="1"/>
      <c r="JVW224" s="1"/>
      <c r="JVX224" s="1"/>
      <c r="JVY224" s="1"/>
      <c r="JVZ224" s="1"/>
      <c r="JWA224" s="1"/>
      <c r="JWB224" s="1"/>
      <c r="JWC224" s="1"/>
      <c r="JWD224" s="1"/>
      <c r="JWE224" s="1"/>
      <c r="JWF224" s="1"/>
      <c r="JWG224" s="1"/>
      <c r="JWH224" s="1"/>
      <c r="JWI224" s="1"/>
      <c r="JWJ224" s="1"/>
      <c r="JWK224" s="1"/>
      <c r="JWL224" s="1"/>
      <c r="JWM224" s="1"/>
      <c r="JWN224" s="1"/>
      <c r="JWO224" s="1"/>
      <c r="JWP224" s="1"/>
      <c r="JWQ224" s="1"/>
      <c r="JWR224" s="1"/>
      <c r="JWS224" s="1"/>
      <c r="JWT224" s="1"/>
      <c r="JWU224" s="1"/>
      <c r="JWV224" s="1"/>
      <c r="JWW224" s="1"/>
      <c r="JWX224" s="1"/>
      <c r="JWY224" s="1"/>
      <c r="JWZ224" s="1"/>
      <c r="JXA224" s="1"/>
      <c r="JXB224" s="1"/>
      <c r="JXC224" s="1"/>
      <c r="JXD224" s="1"/>
      <c r="JXE224" s="1"/>
      <c r="JXF224" s="1"/>
      <c r="JXG224" s="1"/>
      <c r="JXH224" s="1"/>
      <c r="JXI224" s="1"/>
      <c r="JXJ224" s="1"/>
      <c r="JXK224" s="1"/>
      <c r="JXL224" s="1"/>
      <c r="JXM224" s="1"/>
      <c r="JXN224" s="1"/>
      <c r="JXO224" s="1"/>
      <c r="JXP224" s="1"/>
      <c r="JXQ224" s="1"/>
      <c r="JXR224" s="1"/>
      <c r="JXS224" s="1"/>
      <c r="JXT224" s="1"/>
      <c r="JXU224" s="1"/>
      <c r="JXV224" s="1"/>
      <c r="JXW224" s="1"/>
      <c r="JXX224" s="1"/>
      <c r="JXY224" s="1"/>
      <c r="JXZ224" s="1"/>
      <c r="JYA224" s="1"/>
      <c r="JYB224" s="1"/>
      <c r="JYC224" s="1"/>
      <c r="JYD224" s="1"/>
      <c r="JYE224" s="1"/>
      <c r="JYF224" s="1"/>
      <c r="JYG224" s="1"/>
      <c r="JYH224" s="1"/>
      <c r="JYI224" s="1"/>
      <c r="JYJ224" s="1"/>
      <c r="JYK224" s="1"/>
      <c r="JYL224" s="1"/>
      <c r="JYM224" s="1"/>
      <c r="JYN224" s="1"/>
      <c r="JYO224" s="1"/>
      <c r="JYP224" s="1"/>
      <c r="JYQ224" s="1"/>
      <c r="JYR224" s="1"/>
      <c r="JYS224" s="1"/>
      <c r="JYT224" s="1"/>
      <c r="JYU224" s="1"/>
      <c r="JYV224" s="1"/>
      <c r="JYW224" s="1"/>
      <c r="JYX224" s="1"/>
      <c r="JYY224" s="1"/>
      <c r="JYZ224" s="1"/>
      <c r="JZA224" s="1"/>
      <c r="JZB224" s="1"/>
      <c r="JZC224" s="1"/>
      <c r="JZD224" s="1"/>
      <c r="JZE224" s="1"/>
      <c r="JZF224" s="1"/>
      <c r="JZG224" s="1"/>
      <c r="JZH224" s="1"/>
      <c r="JZI224" s="1"/>
      <c r="JZJ224" s="1"/>
      <c r="JZK224" s="1"/>
      <c r="JZL224" s="1"/>
      <c r="JZM224" s="1"/>
      <c r="JZN224" s="1"/>
      <c r="JZO224" s="1"/>
      <c r="JZP224" s="1"/>
      <c r="JZQ224" s="1"/>
      <c r="JZR224" s="1"/>
      <c r="JZS224" s="1"/>
      <c r="JZT224" s="1"/>
      <c r="JZU224" s="1"/>
      <c r="JZV224" s="1"/>
      <c r="JZW224" s="1"/>
      <c r="JZX224" s="1"/>
      <c r="JZY224" s="1"/>
      <c r="JZZ224" s="1"/>
      <c r="KAA224" s="1"/>
      <c r="KAB224" s="1"/>
      <c r="KAC224" s="1"/>
      <c r="KAD224" s="1"/>
      <c r="KAE224" s="1"/>
      <c r="KAF224" s="1"/>
      <c r="KAG224" s="1"/>
      <c r="KAH224" s="1"/>
      <c r="KAI224" s="1"/>
      <c r="KAJ224" s="1"/>
      <c r="KAK224" s="1"/>
      <c r="KAL224" s="1"/>
      <c r="KAM224" s="1"/>
      <c r="KAN224" s="1"/>
      <c r="KAO224" s="1"/>
      <c r="KAP224" s="1"/>
      <c r="KAQ224" s="1"/>
      <c r="KAR224" s="1"/>
      <c r="KAS224" s="1"/>
      <c r="KAT224" s="1"/>
      <c r="KAU224" s="1"/>
      <c r="KAV224" s="1"/>
      <c r="KAW224" s="1"/>
      <c r="KAX224" s="1"/>
      <c r="KAY224" s="1"/>
      <c r="KAZ224" s="1"/>
      <c r="KBA224" s="1"/>
      <c r="KBB224" s="1"/>
      <c r="KBC224" s="1"/>
      <c r="KBD224" s="1"/>
      <c r="KBE224" s="1"/>
      <c r="KBF224" s="1"/>
      <c r="KBG224" s="1"/>
      <c r="KBH224" s="1"/>
      <c r="KBI224" s="1"/>
      <c r="KBJ224" s="1"/>
      <c r="KBK224" s="1"/>
      <c r="KBL224" s="1"/>
      <c r="KBM224" s="1"/>
      <c r="KBN224" s="1"/>
      <c r="KBO224" s="1"/>
      <c r="KBP224" s="1"/>
      <c r="KBQ224" s="1"/>
      <c r="KBR224" s="1"/>
      <c r="KBS224" s="1"/>
      <c r="KBT224" s="1"/>
      <c r="KBU224" s="1"/>
      <c r="KBV224" s="1"/>
      <c r="KBW224" s="1"/>
      <c r="KBX224" s="1"/>
      <c r="KBY224" s="1"/>
      <c r="KBZ224" s="1"/>
      <c r="KCA224" s="1"/>
      <c r="KCB224" s="1"/>
      <c r="KCC224" s="1"/>
      <c r="KCD224" s="1"/>
      <c r="KCE224" s="1"/>
      <c r="KCF224" s="1"/>
      <c r="KCG224" s="1"/>
      <c r="KCH224" s="1"/>
      <c r="KCI224" s="1"/>
      <c r="KCJ224" s="1"/>
      <c r="KCK224" s="1"/>
      <c r="KCL224" s="1"/>
      <c r="KCM224" s="1"/>
      <c r="KCN224" s="1"/>
      <c r="KCO224" s="1"/>
      <c r="KCP224" s="1"/>
      <c r="KCQ224" s="1"/>
      <c r="KCR224" s="1"/>
      <c r="KCS224" s="1"/>
      <c r="KCT224" s="1"/>
      <c r="KCU224" s="1"/>
      <c r="KCV224" s="1"/>
      <c r="KCW224" s="1"/>
      <c r="KCX224" s="1"/>
      <c r="KCY224" s="1"/>
      <c r="KCZ224" s="1"/>
      <c r="KDA224" s="1"/>
      <c r="KDB224" s="1"/>
      <c r="KDC224" s="1"/>
      <c r="KDD224" s="1"/>
      <c r="KDE224" s="1"/>
      <c r="KDF224" s="1"/>
      <c r="KDG224" s="1"/>
      <c r="KDH224" s="1"/>
      <c r="KDI224" s="1"/>
      <c r="KDJ224" s="1"/>
      <c r="KDK224" s="1"/>
      <c r="KDL224" s="1"/>
      <c r="KDM224" s="1"/>
      <c r="KDN224" s="1"/>
      <c r="KDO224" s="1"/>
      <c r="KDP224" s="1"/>
      <c r="KDQ224" s="1"/>
      <c r="KDR224" s="1"/>
      <c r="KDS224" s="1"/>
      <c r="KDT224" s="1"/>
      <c r="KDU224" s="1"/>
      <c r="KDV224" s="1"/>
      <c r="KDW224" s="1"/>
      <c r="KDX224" s="1"/>
      <c r="KDY224" s="1"/>
      <c r="KDZ224" s="1"/>
      <c r="KEA224" s="1"/>
      <c r="KEB224" s="1"/>
      <c r="KEC224" s="1"/>
      <c r="KED224" s="1"/>
      <c r="KEE224" s="1"/>
      <c r="KEF224" s="1"/>
      <c r="KEG224" s="1"/>
      <c r="KEH224" s="1"/>
      <c r="KEI224" s="1"/>
      <c r="KEJ224" s="1"/>
      <c r="KEK224" s="1"/>
      <c r="KEL224" s="1"/>
      <c r="KEM224" s="1"/>
      <c r="KEN224" s="1"/>
      <c r="KEO224" s="1"/>
      <c r="KEP224" s="1"/>
      <c r="KEQ224" s="1"/>
      <c r="KER224" s="1"/>
      <c r="KES224" s="1"/>
      <c r="KET224" s="1"/>
      <c r="KEU224" s="1"/>
      <c r="KEV224" s="1"/>
      <c r="KEW224" s="1"/>
      <c r="KEX224" s="1"/>
      <c r="KEY224" s="1"/>
      <c r="KEZ224" s="1"/>
      <c r="KFA224" s="1"/>
      <c r="KFB224" s="1"/>
      <c r="KFC224" s="1"/>
      <c r="KFD224" s="1"/>
      <c r="KFE224" s="1"/>
      <c r="KFF224" s="1"/>
      <c r="KFG224" s="1"/>
      <c r="KFH224" s="1"/>
      <c r="KFI224" s="1"/>
      <c r="KFJ224" s="1"/>
      <c r="KFK224" s="1"/>
      <c r="KFL224" s="1"/>
      <c r="KFM224" s="1"/>
      <c r="KFN224" s="1"/>
      <c r="KFO224" s="1"/>
      <c r="KFP224" s="1"/>
      <c r="KFQ224" s="1"/>
      <c r="KFR224" s="1"/>
      <c r="KFS224" s="1"/>
      <c r="KFT224" s="1"/>
      <c r="KFU224" s="1"/>
      <c r="KFV224" s="1"/>
      <c r="KFW224" s="1"/>
      <c r="KFX224" s="1"/>
      <c r="KFY224" s="1"/>
      <c r="KFZ224" s="1"/>
      <c r="KGA224" s="1"/>
      <c r="KGB224" s="1"/>
      <c r="KGC224" s="1"/>
      <c r="KGD224" s="1"/>
      <c r="KGE224" s="1"/>
      <c r="KGF224" s="1"/>
      <c r="KGG224" s="1"/>
      <c r="KGH224" s="1"/>
      <c r="KGI224" s="1"/>
      <c r="KGJ224" s="1"/>
      <c r="KGK224" s="1"/>
      <c r="KGL224" s="1"/>
      <c r="KGM224" s="1"/>
      <c r="KGN224" s="1"/>
      <c r="KGO224" s="1"/>
      <c r="KGP224" s="1"/>
      <c r="KGQ224" s="1"/>
      <c r="KGR224" s="1"/>
      <c r="KGS224" s="1"/>
      <c r="KGT224" s="1"/>
      <c r="KGU224" s="1"/>
      <c r="KGV224" s="1"/>
      <c r="KGW224" s="1"/>
      <c r="KGX224" s="1"/>
      <c r="KGY224" s="1"/>
      <c r="KGZ224" s="1"/>
      <c r="KHA224" s="1"/>
      <c r="KHB224" s="1"/>
      <c r="KHC224" s="1"/>
      <c r="KHD224" s="1"/>
      <c r="KHE224" s="1"/>
      <c r="KHF224" s="1"/>
      <c r="KHG224" s="1"/>
      <c r="KHH224" s="1"/>
      <c r="KHI224" s="1"/>
      <c r="KHJ224" s="1"/>
      <c r="KHK224" s="1"/>
      <c r="KHL224" s="1"/>
      <c r="KHM224" s="1"/>
      <c r="KHN224" s="1"/>
      <c r="KHO224" s="1"/>
      <c r="KHP224" s="1"/>
      <c r="KHQ224" s="1"/>
      <c r="KHR224" s="1"/>
      <c r="KHS224" s="1"/>
      <c r="KHT224" s="1"/>
      <c r="KHU224" s="1"/>
      <c r="KHV224" s="1"/>
      <c r="KHW224" s="1"/>
      <c r="KHX224" s="1"/>
      <c r="KHY224" s="1"/>
      <c r="KHZ224" s="1"/>
      <c r="KIA224" s="1"/>
      <c r="KIB224" s="1"/>
      <c r="KIC224" s="1"/>
      <c r="KID224" s="1"/>
      <c r="KIE224" s="1"/>
      <c r="KIF224" s="1"/>
      <c r="KIG224" s="1"/>
      <c r="KIH224" s="1"/>
      <c r="KII224" s="1"/>
      <c r="KIJ224" s="1"/>
      <c r="KIK224" s="1"/>
      <c r="KIL224" s="1"/>
      <c r="KIM224" s="1"/>
      <c r="KIN224" s="1"/>
      <c r="KIO224" s="1"/>
      <c r="KIP224" s="1"/>
      <c r="KIQ224" s="1"/>
      <c r="KIR224" s="1"/>
      <c r="KIS224" s="1"/>
      <c r="KIT224" s="1"/>
      <c r="KIU224" s="1"/>
      <c r="KIV224" s="1"/>
      <c r="KIW224" s="1"/>
      <c r="KIX224" s="1"/>
      <c r="KIY224" s="1"/>
      <c r="KIZ224" s="1"/>
      <c r="KJA224" s="1"/>
      <c r="KJB224" s="1"/>
      <c r="KJC224" s="1"/>
      <c r="KJD224" s="1"/>
      <c r="KJE224" s="1"/>
      <c r="KJF224" s="1"/>
      <c r="KJG224" s="1"/>
      <c r="KJH224" s="1"/>
      <c r="KJI224" s="1"/>
      <c r="KJJ224" s="1"/>
      <c r="KJK224" s="1"/>
      <c r="KJL224" s="1"/>
      <c r="KJM224" s="1"/>
      <c r="KJN224" s="1"/>
      <c r="KJO224" s="1"/>
      <c r="KJP224" s="1"/>
      <c r="KJQ224" s="1"/>
      <c r="KJR224" s="1"/>
      <c r="KJS224" s="1"/>
      <c r="KJT224" s="1"/>
      <c r="KJU224" s="1"/>
      <c r="KJV224" s="1"/>
      <c r="KJW224" s="1"/>
      <c r="KJX224" s="1"/>
      <c r="KJY224" s="1"/>
      <c r="KJZ224" s="1"/>
      <c r="KKA224" s="1"/>
      <c r="KKB224" s="1"/>
      <c r="KKC224" s="1"/>
      <c r="KKD224" s="1"/>
      <c r="KKE224" s="1"/>
      <c r="KKF224" s="1"/>
      <c r="KKG224" s="1"/>
      <c r="KKH224" s="1"/>
      <c r="KKI224" s="1"/>
      <c r="KKJ224" s="1"/>
      <c r="KKK224" s="1"/>
      <c r="KKL224" s="1"/>
      <c r="KKM224" s="1"/>
      <c r="KKN224" s="1"/>
      <c r="KKO224" s="1"/>
      <c r="KKP224" s="1"/>
      <c r="KKQ224" s="1"/>
      <c r="KKR224" s="1"/>
      <c r="KKS224" s="1"/>
      <c r="KKT224" s="1"/>
      <c r="KKU224" s="1"/>
      <c r="KKV224" s="1"/>
      <c r="KKW224" s="1"/>
      <c r="KKX224" s="1"/>
      <c r="KKY224" s="1"/>
      <c r="KKZ224" s="1"/>
      <c r="KLA224" s="1"/>
      <c r="KLB224" s="1"/>
      <c r="KLC224" s="1"/>
      <c r="KLD224" s="1"/>
      <c r="KLE224" s="1"/>
      <c r="KLF224" s="1"/>
      <c r="KLG224" s="1"/>
      <c r="KLH224" s="1"/>
      <c r="KLI224" s="1"/>
      <c r="KLJ224" s="1"/>
      <c r="KLK224" s="1"/>
      <c r="KLL224" s="1"/>
      <c r="KLM224" s="1"/>
      <c r="KLN224" s="1"/>
      <c r="KLO224" s="1"/>
      <c r="KLP224" s="1"/>
      <c r="KLQ224" s="1"/>
      <c r="KLR224" s="1"/>
      <c r="KLS224" s="1"/>
      <c r="KLT224" s="1"/>
      <c r="KLU224" s="1"/>
      <c r="KLV224" s="1"/>
      <c r="KLW224" s="1"/>
      <c r="KLX224" s="1"/>
      <c r="KLY224" s="1"/>
      <c r="KLZ224" s="1"/>
      <c r="KMA224" s="1"/>
      <c r="KMB224" s="1"/>
      <c r="KMC224" s="1"/>
      <c r="KMD224" s="1"/>
      <c r="KME224" s="1"/>
      <c r="KMF224" s="1"/>
      <c r="KMG224" s="1"/>
      <c r="KMH224" s="1"/>
      <c r="KMI224" s="1"/>
      <c r="KMJ224" s="1"/>
      <c r="KMK224" s="1"/>
      <c r="KML224" s="1"/>
      <c r="KMM224" s="1"/>
      <c r="KMN224" s="1"/>
      <c r="KMO224" s="1"/>
      <c r="KMP224" s="1"/>
      <c r="KMQ224" s="1"/>
      <c r="KMR224" s="1"/>
      <c r="KMS224" s="1"/>
      <c r="KMT224" s="1"/>
      <c r="KMU224" s="1"/>
      <c r="KMV224" s="1"/>
      <c r="KMW224" s="1"/>
      <c r="KMX224" s="1"/>
      <c r="KMY224" s="1"/>
      <c r="KMZ224" s="1"/>
      <c r="KNA224" s="1"/>
      <c r="KNB224" s="1"/>
      <c r="KNC224" s="1"/>
      <c r="KND224" s="1"/>
      <c r="KNE224" s="1"/>
      <c r="KNF224" s="1"/>
      <c r="KNG224" s="1"/>
      <c r="KNH224" s="1"/>
      <c r="KNI224" s="1"/>
      <c r="KNJ224" s="1"/>
      <c r="KNK224" s="1"/>
      <c r="KNL224" s="1"/>
      <c r="KNM224" s="1"/>
      <c r="KNN224" s="1"/>
      <c r="KNO224" s="1"/>
      <c r="KNP224" s="1"/>
      <c r="KNQ224" s="1"/>
      <c r="KNR224" s="1"/>
      <c r="KNS224" s="1"/>
      <c r="KNT224" s="1"/>
      <c r="KNU224" s="1"/>
      <c r="KNV224" s="1"/>
      <c r="KNW224" s="1"/>
      <c r="KNX224" s="1"/>
      <c r="KNY224" s="1"/>
      <c r="KNZ224" s="1"/>
      <c r="KOA224" s="1"/>
      <c r="KOB224" s="1"/>
      <c r="KOC224" s="1"/>
      <c r="KOD224" s="1"/>
      <c r="KOE224" s="1"/>
      <c r="KOF224" s="1"/>
      <c r="KOG224" s="1"/>
      <c r="KOH224" s="1"/>
      <c r="KOI224" s="1"/>
      <c r="KOJ224" s="1"/>
      <c r="KOK224" s="1"/>
      <c r="KOL224" s="1"/>
      <c r="KOM224" s="1"/>
      <c r="KON224" s="1"/>
      <c r="KOO224" s="1"/>
      <c r="KOP224" s="1"/>
      <c r="KOQ224" s="1"/>
      <c r="KOR224" s="1"/>
      <c r="KOS224" s="1"/>
      <c r="KOT224" s="1"/>
      <c r="KOU224" s="1"/>
      <c r="KOV224" s="1"/>
      <c r="KOW224" s="1"/>
      <c r="KOX224" s="1"/>
      <c r="KOY224" s="1"/>
      <c r="KOZ224" s="1"/>
      <c r="KPA224" s="1"/>
      <c r="KPB224" s="1"/>
      <c r="KPC224" s="1"/>
      <c r="KPD224" s="1"/>
      <c r="KPE224" s="1"/>
      <c r="KPF224" s="1"/>
      <c r="KPG224" s="1"/>
      <c r="KPH224" s="1"/>
      <c r="KPI224" s="1"/>
      <c r="KPJ224" s="1"/>
      <c r="KPK224" s="1"/>
      <c r="KPL224" s="1"/>
      <c r="KPM224" s="1"/>
      <c r="KPN224" s="1"/>
      <c r="KPO224" s="1"/>
      <c r="KPP224" s="1"/>
      <c r="KPQ224" s="1"/>
      <c r="KPR224" s="1"/>
      <c r="KPS224" s="1"/>
      <c r="KPT224" s="1"/>
      <c r="KPU224" s="1"/>
      <c r="KPV224" s="1"/>
      <c r="KPW224" s="1"/>
      <c r="KPX224" s="1"/>
      <c r="KPY224" s="1"/>
      <c r="KPZ224" s="1"/>
      <c r="KQA224" s="1"/>
      <c r="KQB224" s="1"/>
      <c r="KQC224" s="1"/>
      <c r="KQD224" s="1"/>
      <c r="KQE224" s="1"/>
      <c r="KQF224" s="1"/>
      <c r="KQG224" s="1"/>
      <c r="KQH224" s="1"/>
      <c r="KQI224" s="1"/>
      <c r="KQJ224" s="1"/>
      <c r="KQK224" s="1"/>
      <c r="KQL224" s="1"/>
      <c r="KQM224" s="1"/>
      <c r="KQN224" s="1"/>
      <c r="KQO224" s="1"/>
      <c r="KQP224" s="1"/>
      <c r="KQQ224" s="1"/>
      <c r="KQR224" s="1"/>
      <c r="KQS224" s="1"/>
      <c r="KQT224" s="1"/>
      <c r="KQU224" s="1"/>
      <c r="KQV224" s="1"/>
      <c r="KQW224" s="1"/>
      <c r="KQX224" s="1"/>
      <c r="KQY224" s="1"/>
      <c r="KQZ224" s="1"/>
      <c r="KRA224" s="1"/>
      <c r="KRB224" s="1"/>
      <c r="KRC224" s="1"/>
      <c r="KRD224" s="1"/>
      <c r="KRE224" s="1"/>
      <c r="KRF224" s="1"/>
      <c r="KRG224" s="1"/>
      <c r="KRH224" s="1"/>
      <c r="KRI224" s="1"/>
      <c r="KRJ224" s="1"/>
      <c r="KRK224" s="1"/>
      <c r="KRL224" s="1"/>
      <c r="KRM224" s="1"/>
      <c r="KRN224" s="1"/>
      <c r="KRO224" s="1"/>
      <c r="KRP224" s="1"/>
      <c r="KRQ224" s="1"/>
      <c r="KRR224" s="1"/>
      <c r="KRS224" s="1"/>
      <c r="KRT224" s="1"/>
      <c r="KRU224" s="1"/>
      <c r="KRV224" s="1"/>
      <c r="KRW224" s="1"/>
      <c r="KRX224" s="1"/>
      <c r="KRY224" s="1"/>
      <c r="KRZ224" s="1"/>
      <c r="KSA224" s="1"/>
      <c r="KSB224" s="1"/>
      <c r="KSC224" s="1"/>
      <c r="KSD224" s="1"/>
      <c r="KSE224" s="1"/>
      <c r="KSF224" s="1"/>
      <c r="KSG224" s="1"/>
      <c r="KSH224" s="1"/>
      <c r="KSI224" s="1"/>
      <c r="KSJ224" s="1"/>
      <c r="KSK224" s="1"/>
      <c r="KSL224" s="1"/>
      <c r="KSM224" s="1"/>
      <c r="KSN224" s="1"/>
      <c r="KSO224" s="1"/>
      <c r="KSP224" s="1"/>
      <c r="KSQ224" s="1"/>
      <c r="KSR224" s="1"/>
      <c r="KSS224" s="1"/>
      <c r="KST224" s="1"/>
      <c r="KSU224" s="1"/>
      <c r="KSV224" s="1"/>
      <c r="KSW224" s="1"/>
      <c r="KSX224" s="1"/>
      <c r="KSY224" s="1"/>
      <c r="KSZ224" s="1"/>
      <c r="KTA224" s="1"/>
      <c r="KTB224" s="1"/>
      <c r="KTC224" s="1"/>
      <c r="KTD224" s="1"/>
      <c r="KTE224" s="1"/>
      <c r="KTF224" s="1"/>
      <c r="KTG224" s="1"/>
      <c r="KTH224" s="1"/>
      <c r="KTI224" s="1"/>
      <c r="KTJ224" s="1"/>
      <c r="KTK224" s="1"/>
      <c r="KTL224" s="1"/>
      <c r="KTM224" s="1"/>
      <c r="KTN224" s="1"/>
      <c r="KTO224" s="1"/>
      <c r="KTP224" s="1"/>
      <c r="KTQ224" s="1"/>
      <c r="KTR224" s="1"/>
      <c r="KTS224" s="1"/>
      <c r="KTT224" s="1"/>
      <c r="KTU224" s="1"/>
      <c r="KTV224" s="1"/>
      <c r="KTW224" s="1"/>
      <c r="KTX224" s="1"/>
      <c r="KTY224" s="1"/>
      <c r="KTZ224" s="1"/>
      <c r="KUA224" s="1"/>
      <c r="KUB224" s="1"/>
      <c r="KUC224" s="1"/>
      <c r="KUD224" s="1"/>
      <c r="KUE224" s="1"/>
      <c r="KUF224" s="1"/>
      <c r="KUG224" s="1"/>
      <c r="KUH224" s="1"/>
      <c r="KUI224" s="1"/>
      <c r="KUJ224" s="1"/>
      <c r="KUK224" s="1"/>
      <c r="KUL224" s="1"/>
      <c r="KUM224" s="1"/>
      <c r="KUN224" s="1"/>
      <c r="KUO224" s="1"/>
      <c r="KUP224" s="1"/>
      <c r="KUQ224" s="1"/>
      <c r="KUR224" s="1"/>
      <c r="KUS224" s="1"/>
      <c r="KUT224" s="1"/>
      <c r="KUU224" s="1"/>
      <c r="KUV224" s="1"/>
      <c r="KUW224" s="1"/>
      <c r="KUX224" s="1"/>
      <c r="KUY224" s="1"/>
      <c r="KUZ224" s="1"/>
      <c r="KVA224" s="1"/>
      <c r="KVB224" s="1"/>
      <c r="KVC224" s="1"/>
      <c r="KVD224" s="1"/>
      <c r="KVE224" s="1"/>
      <c r="KVF224" s="1"/>
      <c r="KVG224" s="1"/>
      <c r="KVH224" s="1"/>
      <c r="KVI224" s="1"/>
      <c r="KVJ224" s="1"/>
      <c r="KVK224" s="1"/>
      <c r="KVL224" s="1"/>
      <c r="KVM224" s="1"/>
      <c r="KVN224" s="1"/>
      <c r="KVO224" s="1"/>
      <c r="KVP224" s="1"/>
      <c r="KVQ224" s="1"/>
      <c r="KVR224" s="1"/>
      <c r="KVS224" s="1"/>
      <c r="KVT224" s="1"/>
      <c r="KVU224" s="1"/>
      <c r="KVV224" s="1"/>
      <c r="KVW224" s="1"/>
      <c r="KVX224" s="1"/>
      <c r="KVY224" s="1"/>
      <c r="KVZ224" s="1"/>
      <c r="KWA224" s="1"/>
      <c r="KWB224" s="1"/>
      <c r="KWC224" s="1"/>
      <c r="KWD224" s="1"/>
      <c r="KWE224" s="1"/>
      <c r="KWF224" s="1"/>
      <c r="KWG224" s="1"/>
      <c r="KWH224" s="1"/>
      <c r="KWI224" s="1"/>
      <c r="KWJ224" s="1"/>
      <c r="KWK224" s="1"/>
      <c r="KWL224" s="1"/>
      <c r="KWM224" s="1"/>
      <c r="KWN224" s="1"/>
      <c r="KWO224" s="1"/>
      <c r="KWP224" s="1"/>
      <c r="KWQ224" s="1"/>
      <c r="KWR224" s="1"/>
      <c r="KWS224" s="1"/>
      <c r="KWT224" s="1"/>
      <c r="KWU224" s="1"/>
      <c r="KWV224" s="1"/>
      <c r="KWW224" s="1"/>
      <c r="KWX224" s="1"/>
      <c r="KWY224" s="1"/>
      <c r="KWZ224" s="1"/>
      <c r="KXA224" s="1"/>
      <c r="KXB224" s="1"/>
      <c r="KXC224" s="1"/>
      <c r="KXD224" s="1"/>
      <c r="KXE224" s="1"/>
      <c r="KXF224" s="1"/>
      <c r="KXG224" s="1"/>
      <c r="KXH224" s="1"/>
      <c r="KXI224" s="1"/>
      <c r="KXJ224" s="1"/>
      <c r="KXK224" s="1"/>
      <c r="KXL224" s="1"/>
      <c r="KXM224" s="1"/>
      <c r="KXN224" s="1"/>
      <c r="KXO224" s="1"/>
      <c r="KXP224" s="1"/>
      <c r="KXQ224" s="1"/>
      <c r="KXR224" s="1"/>
      <c r="KXS224" s="1"/>
      <c r="KXT224" s="1"/>
      <c r="KXU224" s="1"/>
      <c r="KXV224" s="1"/>
      <c r="KXW224" s="1"/>
      <c r="KXX224" s="1"/>
      <c r="KXY224" s="1"/>
      <c r="KXZ224" s="1"/>
      <c r="KYA224" s="1"/>
      <c r="KYB224" s="1"/>
      <c r="KYC224" s="1"/>
      <c r="KYD224" s="1"/>
      <c r="KYE224" s="1"/>
      <c r="KYF224" s="1"/>
      <c r="KYG224" s="1"/>
      <c r="KYH224" s="1"/>
      <c r="KYI224" s="1"/>
      <c r="KYJ224" s="1"/>
      <c r="KYK224" s="1"/>
      <c r="KYL224" s="1"/>
      <c r="KYM224" s="1"/>
      <c r="KYN224" s="1"/>
      <c r="KYO224" s="1"/>
      <c r="KYP224" s="1"/>
      <c r="KYQ224" s="1"/>
      <c r="KYR224" s="1"/>
      <c r="KYS224" s="1"/>
      <c r="KYT224" s="1"/>
      <c r="KYU224" s="1"/>
      <c r="KYV224" s="1"/>
      <c r="KYW224" s="1"/>
      <c r="KYX224" s="1"/>
      <c r="KYY224" s="1"/>
      <c r="KYZ224" s="1"/>
      <c r="KZA224" s="1"/>
      <c r="KZB224" s="1"/>
      <c r="KZC224" s="1"/>
      <c r="KZD224" s="1"/>
      <c r="KZE224" s="1"/>
      <c r="KZF224" s="1"/>
      <c r="KZG224" s="1"/>
      <c r="KZH224" s="1"/>
      <c r="KZI224" s="1"/>
      <c r="KZJ224" s="1"/>
      <c r="KZK224" s="1"/>
      <c r="KZL224" s="1"/>
      <c r="KZM224" s="1"/>
      <c r="KZN224" s="1"/>
      <c r="KZO224" s="1"/>
      <c r="KZP224" s="1"/>
      <c r="KZQ224" s="1"/>
      <c r="KZR224" s="1"/>
      <c r="KZS224" s="1"/>
      <c r="KZT224" s="1"/>
      <c r="KZU224" s="1"/>
      <c r="KZV224" s="1"/>
      <c r="KZW224" s="1"/>
      <c r="KZX224" s="1"/>
      <c r="KZY224" s="1"/>
      <c r="KZZ224" s="1"/>
      <c r="LAA224" s="1"/>
      <c r="LAB224" s="1"/>
      <c r="LAC224" s="1"/>
      <c r="LAD224" s="1"/>
      <c r="LAE224" s="1"/>
      <c r="LAF224" s="1"/>
      <c r="LAG224" s="1"/>
      <c r="LAH224" s="1"/>
      <c r="LAI224" s="1"/>
      <c r="LAJ224" s="1"/>
      <c r="LAK224" s="1"/>
      <c r="LAL224" s="1"/>
      <c r="LAM224" s="1"/>
      <c r="LAN224" s="1"/>
      <c r="LAO224" s="1"/>
      <c r="LAP224" s="1"/>
      <c r="LAQ224" s="1"/>
      <c r="LAR224" s="1"/>
      <c r="LAS224" s="1"/>
      <c r="LAT224" s="1"/>
      <c r="LAU224" s="1"/>
      <c r="LAV224" s="1"/>
      <c r="LAW224" s="1"/>
      <c r="LAX224" s="1"/>
      <c r="LAY224" s="1"/>
      <c r="LAZ224" s="1"/>
      <c r="LBA224" s="1"/>
      <c r="LBB224" s="1"/>
      <c r="LBC224" s="1"/>
      <c r="LBD224" s="1"/>
      <c r="LBE224" s="1"/>
      <c r="LBF224" s="1"/>
      <c r="LBG224" s="1"/>
      <c r="LBH224" s="1"/>
      <c r="LBI224" s="1"/>
      <c r="LBJ224" s="1"/>
      <c r="LBK224" s="1"/>
      <c r="LBL224" s="1"/>
      <c r="LBM224" s="1"/>
      <c r="LBN224" s="1"/>
      <c r="LBO224" s="1"/>
      <c r="LBP224" s="1"/>
      <c r="LBQ224" s="1"/>
      <c r="LBR224" s="1"/>
      <c r="LBS224" s="1"/>
      <c r="LBT224" s="1"/>
      <c r="LBU224" s="1"/>
      <c r="LBV224" s="1"/>
      <c r="LBW224" s="1"/>
      <c r="LBX224" s="1"/>
      <c r="LBY224" s="1"/>
      <c r="LBZ224" s="1"/>
      <c r="LCA224" s="1"/>
      <c r="LCB224" s="1"/>
      <c r="LCC224" s="1"/>
      <c r="LCD224" s="1"/>
      <c r="LCE224" s="1"/>
      <c r="LCF224" s="1"/>
      <c r="LCG224" s="1"/>
      <c r="LCH224" s="1"/>
      <c r="LCI224" s="1"/>
      <c r="LCJ224" s="1"/>
      <c r="LCK224" s="1"/>
      <c r="LCL224" s="1"/>
      <c r="LCM224" s="1"/>
      <c r="LCN224" s="1"/>
      <c r="LCO224" s="1"/>
      <c r="LCP224" s="1"/>
      <c r="LCQ224" s="1"/>
      <c r="LCR224" s="1"/>
      <c r="LCS224" s="1"/>
      <c r="LCT224" s="1"/>
      <c r="LCU224" s="1"/>
      <c r="LCV224" s="1"/>
      <c r="LCW224" s="1"/>
      <c r="LCX224" s="1"/>
      <c r="LCY224" s="1"/>
      <c r="LCZ224" s="1"/>
      <c r="LDA224" s="1"/>
      <c r="LDB224" s="1"/>
      <c r="LDC224" s="1"/>
      <c r="LDD224" s="1"/>
      <c r="LDE224" s="1"/>
      <c r="LDF224" s="1"/>
      <c r="LDG224" s="1"/>
      <c r="LDH224" s="1"/>
      <c r="LDI224" s="1"/>
      <c r="LDJ224" s="1"/>
      <c r="LDK224" s="1"/>
      <c r="LDL224" s="1"/>
      <c r="LDM224" s="1"/>
      <c r="LDN224" s="1"/>
      <c r="LDO224" s="1"/>
      <c r="LDP224" s="1"/>
      <c r="LDQ224" s="1"/>
      <c r="LDR224" s="1"/>
      <c r="LDS224" s="1"/>
      <c r="LDT224" s="1"/>
      <c r="LDU224" s="1"/>
      <c r="LDV224" s="1"/>
      <c r="LDW224" s="1"/>
      <c r="LDX224" s="1"/>
      <c r="LDY224" s="1"/>
      <c r="LDZ224" s="1"/>
      <c r="LEA224" s="1"/>
      <c r="LEB224" s="1"/>
      <c r="LEC224" s="1"/>
      <c r="LED224" s="1"/>
      <c r="LEE224" s="1"/>
      <c r="LEF224" s="1"/>
      <c r="LEG224" s="1"/>
      <c r="LEH224" s="1"/>
      <c r="LEI224" s="1"/>
      <c r="LEJ224" s="1"/>
      <c r="LEK224" s="1"/>
      <c r="LEL224" s="1"/>
      <c r="LEM224" s="1"/>
      <c r="LEN224" s="1"/>
      <c r="LEO224" s="1"/>
      <c r="LEP224" s="1"/>
      <c r="LEQ224" s="1"/>
      <c r="LER224" s="1"/>
      <c r="LES224" s="1"/>
      <c r="LET224" s="1"/>
      <c r="LEU224" s="1"/>
      <c r="LEV224" s="1"/>
      <c r="LEW224" s="1"/>
      <c r="LEX224" s="1"/>
      <c r="LEY224" s="1"/>
      <c r="LEZ224" s="1"/>
      <c r="LFA224" s="1"/>
      <c r="LFB224" s="1"/>
      <c r="LFC224" s="1"/>
      <c r="LFD224" s="1"/>
      <c r="LFE224" s="1"/>
      <c r="LFF224" s="1"/>
      <c r="LFG224" s="1"/>
      <c r="LFH224" s="1"/>
      <c r="LFI224" s="1"/>
      <c r="LFJ224" s="1"/>
      <c r="LFK224" s="1"/>
      <c r="LFL224" s="1"/>
      <c r="LFM224" s="1"/>
      <c r="LFN224" s="1"/>
      <c r="LFO224" s="1"/>
      <c r="LFP224" s="1"/>
      <c r="LFQ224" s="1"/>
      <c r="LFR224" s="1"/>
      <c r="LFS224" s="1"/>
      <c r="LFT224" s="1"/>
      <c r="LFU224" s="1"/>
      <c r="LFV224" s="1"/>
      <c r="LFW224" s="1"/>
      <c r="LFX224" s="1"/>
      <c r="LFY224" s="1"/>
      <c r="LFZ224" s="1"/>
      <c r="LGA224" s="1"/>
      <c r="LGB224" s="1"/>
      <c r="LGC224" s="1"/>
      <c r="LGD224" s="1"/>
      <c r="LGE224" s="1"/>
      <c r="LGF224" s="1"/>
      <c r="LGG224" s="1"/>
      <c r="LGH224" s="1"/>
      <c r="LGI224" s="1"/>
      <c r="LGJ224" s="1"/>
      <c r="LGK224" s="1"/>
      <c r="LGL224" s="1"/>
      <c r="LGM224" s="1"/>
      <c r="LGN224" s="1"/>
      <c r="LGO224" s="1"/>
      <c r="LGP224" s="1"/>
      <c r="LGQ224" s="1"/>
      <c r="LGR224" s="1"/>
      <c r="LGS224" s="1"/>
      <c r="LGT224" s="1"/>
      <c r="LGU224" s="1"/>
      <c r="LGV224" s="1"/>
      <c r="LGW224" s="1"/>
      <c r="LGX224" s="1"/>
      <c r="LGY224" s="1"/>
      <c r="LGZ224" s="1"/>
      <c r="LHA224" s="1"/>
      <c r="LHB224" s="1"/>
      <c r="LHC224" s="1"/>
      <c r="LHD224" s="1"/>
      <c r="LHE224" s="1"/>
      <c r="LHF224" s="1"/>
      <c r="LHG224" s="1"/>
      <c r="LHH224" s="1"/>
      <c r="LHI224" s="1"/>
      <c r="LHJ224" s="1"/>
      <c r="LHK224" s="1"/>
      <c r="LHL224" s="1"/>
      <c r="LHM224" s="1"/>
      <c r="LHN224" s="1"/>
      <c r="LHO224" s="1"/>
      <c r="LHP224" s="1"/>
      <c r="LHQ224" s="1"/>
      <c r="LHR224" s="1"/>
      <c r="LHS224" s="1"/>
      <c r="LHT224" s="1"/>
      <c r="LHU224" s="1"/>
      <c r="LHV224" s="1"/>
      <c r="LHW224" s="1"/>
      <c r="LHX224" s="1"/>
      <c r="LHY224" s="1"/>
      <c r="LHZ224" s="1"/>
      <c r="LIA224" s="1"/>
      <c r="LIB224" s="1"/>
      <c r="LIC224" s="1"/>
      <c r="LID224" s="1"/>
      <c r="LIE224" s="1"/>
      <c r="LIF224" s="1"/>
      <c r="LIG224" s="1"/>
      <c r="LIH224" s="1"/>
      <c r="LII224" s="1"/>
      <c r="LIJ224" s="1"/>
      <c r="LIK224" s="1"/>
      <c r="LIL224" s="1"/>
      <c r="LIM224" s="1"/>
      <c r="LIN224" s="1"/>
      <c r="LIO224" s="1"/>
      <c r="LIP224" s="1"/>
      <c r="LIQ224" s="1"/>
      <c r="LIR224" s="1"/>
      <c r="LIS224" s="1"/>
      <c r="LIT224" s="1"/>
      <c r="LIU224" s="1"/>
      <c r="LIV224" s="1"/>
      <c r="LIW224" s="1"/>
      <c r="LIX224" s="1"/>
      <c r="LIY224" s="1"/>
      <c r="LIZ224" s="1"/>
      <c r="LJA224" s="1"/>
      <c r="LJB224" s="1"/>
      <c r="LJC224" s="1"/>
      <c r="LJD224" s="1"/>
      <c r="LJE224" s="1"/>
      <c r="LJF224" s="1"/>
      <c r="LJG224" s="1"/>
      <c r="LJH224" s="1"/>
      <c r="LJI224" s="1"/>
      <c r="LJJ224" s="1"/>
      <c r="LJK224" s="1"/>
      <c r="LJL224" s="1"/>
      <c r="LJM224" s="1"/>
      <c r="LJN224" s="1"/>
      <c r="LJO224" s="1"/>
      <c r="LJP224" s="1"/>
      <c r="LJQ224" s="1"/>
      <c r="LJR224" s="1"/>
      <c r="LJS224" s="1"/>
      <c r="LJT224" s="1"/>
      <c r="LJU224" s="1"/>
      <c r="LJV224" s="1"/>
      <c r="LJW224" s="1"/>
      <c r="LJX224" s="1"/>
      <c r="LJY224" s="1"/>
      <c r="LJZ224" s="1"/>
      <c r="LKA224" s="1"/>
      <c r="LKB224" s="1"/>
      <c r="LKC224" s="1"/>
      <c r="LKD224" s="1"/>
      <c r="LKE224" s="1"/>
      <c r="LKF224" s="1"/>
      <c r="LKG224" s="1"/>
      <c r="LKH224" s="1"/>
      <c r="LKI224" s="1"/>
      <c r="LKJ224" s="1"/>
      <c r="LKK224" s="1"/>
      <c r="LKL224" s="1"/>
      <c r="LKM224" s="1"/>
      <c r="LKN224" s="1"/>
      <c r="LKO224" s="1"/>
      <c r="LKP224" s="1"/>
      <c r="LKQ224" s="1"/>
      <c r="LKR224" s="1"/>
      <c r="LKS224" s="1"/>
      <c r="LKT224" s="1"/>
      <c r="LKU224" s="1"/>
      <c r="LKV224" s="1"/>
      <c r="LKW224" s="1"/>
      <c r="LKX224" s="1"/>
      <c r="LKY224" s="1"/>
      <c r="LKZ224" s="1"/>
      <c r="LLA224" s="1"/>
      <c r="LLB224" s="1"/>
      <c r="LLC224" s="1"/>
      <c r="LLD224" s="1"/>
      <c r="LLE224" s="1"/>
      <c r="LLF224" s="1"/>
      <c r="LLG224" s="1"/>
      <c r="LLH224" s="1"/>
      <c r="LLI224" s="1"/>
      <c r="LLJ224" s="1"/>
      <c r="LLK224" s="1"/>
      <c r="LLL224" s="1"/>
      <c r="LLM224" s="1"/>
      <c r="LLN224" s="1"/>
      <c r="LLO224" s="1"/>
      <c r="LLP224" s="1"/>
      <c r="LLQ224" s="1"/>
      <c r="LLR224" s="1"/>
      <c r="LLS224" s="1"/>
      <c r="LLT224" s="1"/>
      <c r="LLU224" s="1"/>
      <c r="LLV224" s="1"/>
      <c r="LLW224" s="1"/>
      <c r="LLX224" s="1"/>
      <c r="LLY224" s="1"/>
      <c r="LLZ224" s="1"/>
      <c r="LMA224" s="1"/>
      <c r="LMB224" s="1"/>
      <c r="LMC224" s="1"/>
      <c r="LMD224" s="1"/>
      <c r="LME224" s="1"/>
      <c r="LMF224" s="1"/>
      <c r="LMG224" s="1"/>
      <c r="LMH224" s="1"/>
      <c r="LMI224" s="1"/>
      <c r="LMJ224" s="1"/>
      <c r="LMK224" s="1"/>
      <c r="LML224" s="1"/>
      <c r="LMM224" s="1"/>
      <c r="LMN224" s="1"/>
      <c r="LMO224" s="1"/>
      <c r="LMP224" s="1"/>
      <c r="LMQ224" s="1"/>
      <c r="LMR224" s="1"/>
      <c r="LMS224" s="1"/>
      <c r="LMT224" s="1"/>
      <c r="LMU224" s="1"/>
      <c r="LMV224" s="1"/>
      <c r="LMW224" s="1"/>
      <c r="LMX224" s="1"/>
      <c r="LMY224" s="1"/>
      <c r="LMZ224" s="1"/>
      <c r="LNA224" s="1"/>
      <c r="LNB224" s="1"/>
      <c r="LNC224" s="1"/>
      <c r="LND224" s="1"/>
      <c r="LNE224" s="1"/>
      <c r="LNF224" s="1"/>
      <c r="LNG224" s="1"/>
      <c r="LNH224" s="1"/>
      <c r="LNI224" s="1"/>
      <c r="LNJ224" s="1"/>
      <c r="LNK224" s="1"/>
      <c r="LNL224" s="1"/>
      <c r="LNM224" s="1"/>
      <c r="LNN224" s="1"/>
      <c r="LNO224" s="1"/>
      <c r="LNP224" s="1"/>
      <c r="LNQ224" s="1"/>
      <c r="LNR224" s="1"/>
      <c r="LNS224" s="1"/>
      <c r="LNT224" s="1"/>
      <c r="LNU224" s="1"/>
      <c r="LNV224" s="1"/>
      <c r="LNW224" s="1"/>
      <c r="LNX224" s="1"/>
      <c r="LNY224" s="1"/>
      <c r="LNZ224" s="1"/>
      <c r="LOA224" s="1"/>
      <c r="LOB224" s="1"/>
      <c r="LOC224" s="1"/>
      <c r="LOD224" s="1"/>
      <c r="LOE224" s="1"/>
      <c r="LOF224" s="1"/>
      <c r="LOG224" s="1"/>
      <c r="LOH224" s="1"/>
      <c r="LOI224" s="1"/>
      <c r="LOJ224" s="1"/>
      <c r="LOK224" s="1"/>
      <c r="LOL224" s="1"/>
      <c r="LOM224" s="1"/>
      <c r="LON224" s="1"/>
      <c r="LOO224" s="1"/>
      <c r="LOP224" s="1"/>
      <c r="LOQ224" s="1"/>
      <c r="LOR224" s="1"/>
      <c r="LOS224" s="1"/>
      <c r="LOT224" s="1"/>
      <c r="LOU224" s="1"/>
      <c r="LOV224" s="1"/>
      <c r="LOW224" s="1"/>
      <c r="LOX224" s="1"/>
      <c r="LOY224" s="1"/>
      <c r="LOZ224" s="1"/>
      <c r="LPA224" s="1"/>
      <c r="LPB224" s="1"/>
      <c r="LPC224" s="1"/>
      <c r="LPD224" s="1"/>
      <c r="LPE224" s="1"/>
      <c r="LPF224" s="1"/>
      <c r="LPG224" s="1"/>
      <c r="LPH224" s="1"/>
      <c r="LPI224" s="1"/>
      <c r="LPJ224" s="1"/>
      <c r="LPK224" s="1"/>
      <c r="LPL224" s="1"/>
      <c r="LPM224" s="1"/>
      <c r="LPN224" s="1"/>
      <c r="LPO224" s="1"/>
      <c r="LPP224" s="1"/>
      <c r="LPQ224" s="1"/>
      <c r="LPR224" s="1"/>
      <c r="LPS224" s="1"/>
      <c r="LPT224" s="1"/>
      <c r="LPU224" s="1"/>
      <c r="LPV224" s="1"/>
      <c r="LPW224" s="1"/>
      <c r="LPX224" s="1"/>
      <c r="LPY224" s="1"/>
      <c r="LPZ224" s="1"/>
      <c r="LQA224" s="1"/>
      <c r="LQB224" s="1"/>
      <c r="LQC224" s="1"/>
      <c r="LQD224" s="1"/>
      <c r="LQE224" s="1"/>
      <c r="LQF224" s="1"/>
      <c r="LQG224" s="1"/>
      <c r="LQH224" s="1"/>
      <c r="LQI224" s="1"/>
      <c r="LQJ224" s="1"/>
      <c r="LQK224" s="1"/>
      <c r="LQL224" s="1"/>
      <c r="LQM224" s="1"/>
      <c r="LQN224" s="1"/>
      <c r="LQO224" s="1"/>
      <c r="LQP224" s="1"/>
      <c r="LQQ224" s="1"/>
      <c r="LQR224" s="1"/>
      <c r="LQS224" s="1"/>
      <c r="LQT224" s="1"/>
      <c r="LQU224" s="1"/>
      <c r="LQV224" s="1"/>
      <c r="LQW224" s="1"/>
      <c r="LQX224" s="1"/>
      <c r="LQY224" s="1"/>
      <c r="LQZ224" s="1"/>
      <c r="LRA224" s="1"/>
      <c r="LRB224" s="1"/>
      <c r="LRC224" s="1"/>
      <c r="LRD224" s="1"/>
      <c r="LRE224" s="1"/>
      <c r="LRF224" s="1"/>
      <c r="LRG224" s="1"/>
      <c r="LRH224" s="1"/>
      <c r="LRI224" s="1"/>
      <c r="LRJ224" s="1"/>
      <c r="LRK224" s="1"/>
      <c r="LRL224" s="1"/>
      <c r="LRM224" s="1"/>
      <c r="LRN224" s="1"/>
      <c r="LRO224" s="1"/>
      <c r="LRP224" s="1"/>
      <c r="LRQ224" s="1"/>
      <c r="LRR224" s="1"/>
      <c r="LRS224" s="1"/>
      <c r="LRT224" s="1"/>
      <c r="LRU224" s="1"/>
      <c r="LRV224" s="1"/>
      <c r="LRW224" s="1"/>
      <c r="LRX224" s="1"/>
      <c r="LRY224" s="1"/>
      <c r="LRZ224" s="1"/>
      <c r="LSA224" s="1"/>
      <c r="LSB224" s="1"/>
      <c r="LSC224" s="1"/>
      <c r="LSD224" s="1"/>
      <c r="LSE224" s="1"/>
      <c r="LSF224" s="1"/>
      <c r="LSG224" s="1"/>
      <c r="LSH224" s="1"/>
      <c r="LSI224" s="1"/>
      <c r="LSJ224" s="1"/>
      <c r="LSK224" s="1"/>
      <c r="LSL224" s="1"/>
      <c r="LSM224" s="1"/>
      <c r="LSN224" s="1"/>
      <c r="LSO224" s="1"/>
      <c r="LSP224" s="1"/>
      <c r="LSQ224" s="1"/>
      <c r="LSR224" s="1"/>
      <c r="LSS224" s="1"/>
      <c r="LST224" s="1"/>
      <c r="LSU224" s="1"/>
      <c r="LSV224" s="1"/>
      <c r="LSW224" s="1"/>
      <c r="LSX224" s="1"/>
      <c r="LSY224" s="1"/>
      <c r="LSZ224" s="1"/>
      <c r="LTA224" s="1"/>
      <c r="LTB224" s="1"/>
      <c r="LTC224" s="1"/>
      <c r="LTD224" s="1"/>
      <c r="LTE224" s="1"/>
      <c r="LTF224" s="1"/>
      <c r="LTG224" s="1"/>
      <c r="LTH224" s="1"/>
      <c r="LTI224" s="1"/>
      <c r="LTJ224" s="1"/>
      <c r="LTK224" s="1"/>
      <c r="LTL224" s="1"/>
      <c r="LTM224" s="1"/>
      <c r="LTN224" s="1"/>
      <c r="LTO224" s="1"/>
      <c r="LTP224" s="1"/>
      <c r="LTQ224" s="1"/>
      <c r="LTR224" s="1"/>
      <c r="LTS224" s="1"/>
      <c r="LTT224" s="1"/>
      <c r="LTU224" s="1"/>
      <c r="LTV224" s="1"/>
      <c r="LTW224" s="1"/>
      <c r="LTX224" s="1"/>
      <c r="LTY224" s="1"/>
      <c r="LTZ224" s="1"/>
      <c r="LUA224" s="1"/>
      <c r="LUB224" s="1"/>
      <c r="LUC224" s="1"/>
      <c r="LUD224" s="1"/>
      <c r="LUE224" s="1"/>
      <c r="LUF224" s="1"/>
      <c r="LUG224" s="1"/>
      <c r="LUH224" s="1"/>
      <c r="LUI224" s="1"/>
      <c r="LUJ224" s="1"/>
      <c r="LUK224" s="1"/>
      <c r="LUL224" s="1"/>
      <c r="LUM224" s="1"/>
      <c r="LUN224" s="1"/>
      <c r="LUO224" s="1"/>
      <c r="LUP224" s="1"/>
      <c r="LUQ224" s="1"/>
      <c r="LUR224" s="1"/>
      <c r="LUS224" s="1"/>
      <c r="LUT224" s="1"/>
      <c r="LUU224" s="1"/>
      <c r="LUV224" s="1"/>
      <c r="LUW224" s="1"/>
      <c r="LUX224" s="1"/>
      <c r="LUY224" s="1"/>
      <c r="LUZ224" s="1"/>
      <c r="LVA224" s="1"/>
      <c r="LVB224" s="1"/>
      <c r="LVC224" s="1"/>
      <c r="LVD224" s="1"/>
      <c r="LVE224" s="1"/>
      <c r="LVF224" s="1"/>
      <c r="LVG224" s="1"/>
      <c r="LVH224" s="1"/>
      <c r="LVI224" s="1"/>
      <c r="LVJ224" s="1"/>
      <c r="LVK224" s="1"/>
      <c r="LVL224" s="1"/>
      <c r="LVM224" s="1"/>
      <c r="LVN224" s="1"/>
      <c r="LVO224" s="1"/>
      <c r="LVP224" s="1"/>
      <c r="LVQ224" s="1"/>
      <c r="LVR224" s="1"/>
      <c r="LVS224" s="1"/>
      <c r="LVT224" s="1"/>
      <c r="LVU224" s="1"/>
      <c r="LVV224" s="1"/>
      <c r="LVW224" s="1"/>
      <c r="LVX224" s="1"/>
      <c r="LVY224" s="1"/>
      <c r="LVZ224" s="1"/>
      <c r="LWA224" s="1"/>
      <c r="LWB224" s="1"/>
      <c r="LWC224" s="1"/>
      <c r="LWD224" s="1"/>
      <c r="LWE224" s="1"/>
      <c r="LWF224" s="1"/>
      <c r="LWG224" s="1"/>
      <c r="LWH224" s="1"/>
      <c r="LWI224" s="1"/>
      <c r="LWJ224" s="1"/>
      <c r="LWK224" s="1"/>
      <c r="LWL224" s="1"/>
      <c r="LWM224" s="1"/>
      <c r="LWN224" s="1"/>
      <c r="LWO224" s="1"/>
      <c r="LWP224" s="1"/>
      <c r="LWQ224" s="1"/>
      <c r="LWR224" s="1"/>
      <c r="LWS224" s="1"/>
      <c r="LWT224" s="1"/>
      <c r="LWU224" s="1"/>
      <c r="LWV224" s="1"/>
      <c r="LWW224" s="1"/>
      <c r="LWX224" s="1"/>
      <c r="LWY224" s="1"/>
      <c r="LWZ224" s="1"/>
      <c r="LXA224" s="1"/>
      <c r="LXB224" s="1"/>
      <c r="LXC224" s="1"/>
      <c r="LXD224" s="1"/>
      <c r="LXE224" s="1"/>
      <c r="LXF224" s="1"/>
      <c r="LXG224" s="1"/>
      <c r="LXH224" s="1"/>
      <c r="LXI224" s="1"/>
      <c r="LXJ224" s="1"/>
      <c r="LXK224" s="1"/>
      <c r="LXL224" s="1"/>
      <c r="LXM224" s="1"/>
      <c r="LXN224" s="1"/>
      <c r="LXO224" s="1"/>
      <c r="LXP224" s="1"/>
      <c r="LXQ224" s="1"/>
      <c r="LXR224" s="1"/>
      <c r="LXS224" s="1"/>
      <c r="LXT224" s="1"/>
      <c r="LXU224" s="1"/>
      <c r="LXV224" s="1"/>
      <c r="LXW224" s="1"/>
      <c r="LXX224" s="1"/>
      <c r="LXY224" s="1"/>
      <c r="LXZ224" s="1"/>
      <c r="LYA224" s="1"/>
      <c r="LYB224" s="1"/>
      <c r="LYC224" s="1"/>
      <c r="LYD224" s="1"/>
      <c r="LYE224" s="1"/>
      <c r="LYF224" s="1"/>
      <c r="LYG224" s="1"/>
      <c r="LYH224" s="1"/>
      <c r="LYI224" s="1"/>
      <c r="LYJ224" s="1"/>
      <c r="LYK224" s="1"/>
      <c r="LYL224" s="1"/>
      <c r="LYM224" s="1"/>
      <c r="LYN224" s="1"/>
      <c r="LYO224" s="1"/>
      <c r="LYP224" s="1"/>
      <c r="LYQ224" s="1"/>
      <c r="LYR224" s="1"/>
      <c r="LYS224" s="1"/>
      <c r="LYT224" s="1"/>
      <c r="LYU224" s="1"/>
      <c r="LYV224" s="1"/>
      <c r="LYW224" s="1"/>
      <c r="LYX224" s="1"/>
      <c r="LYY224" s="1"/>
      <c r="LYZ224" s="1"/>
      <c r="LZA224" s="1"/>
      <c r="LZB224" s="1"/>
      <c r="LZC224" s="1"/>
      <c r="LZD224" s="1"/>
      <c r="LZE224" s="1"/>
      <c r="LZF224" s="1"/>
      <c r="LZG224" s="1"/>
      <c r="LZH224" s="1"/>
      <c r="LZI224" s="1"/>
      <c r="LZJ224" s="1"/>
      <c r="LZK224" s="1"/>
      <c r="LZL224" s="1"/>
      <c r="LZM224" s="1"/>
      <c r="LZN224" s="1"/>
      <c r="LZO224" s="1"/>
      <c r="LZP224" s="1"/>
      <c r="LZQ224" s="1"/>
      <c r="LZR224" s="1"/>
      <c r="LZS224" s="1"/>
      <c r="LZT224" s="1"/>
      <c r="LZU224" s="1"/>
      <c r="LZV224" s="1"/>
      <c r="LZW224" s="1"/>
      <c r="LZX224" s="1"/>
      <c r="LZY224" s="1"/>
      <c r="LZZ224" s="1"/>
      <c r="MAA224" s="1"/>
      <c r="MAB224" s="1"/>
      <c r="MAC224" s="1"/>
      <c r="MAD224" s="1"/>
      <c r="MAE224" s="1"/>
      <c r="MAF224" s="1"/>
      <c r="MAG224" s="1"/>
      <c r="MAH224" s="1"/>
      <c r="MAI224" s="1"/>
      <c r="MAJ224" s="1"/>
      <c r="MAK224" s="1"/>
      <c r="MAL224" s="1"/>
      <c r="MAM224" s="1"/>
      <c r="MAN224" s="1"/>
      <c r="MAO224" s="1"/>
      <c r="MAP224" s="1"/>
      <c r="MAQ224" s="1"/>
      <c r="MAR224" s="1"/>
      <c r="MAS224" s="1"/>
      <c r="MAT224" s="1"/>
      <c r="MAU224" s="1"/>
      <c r="MAV224" s="1"/>
      <c r="MAW224" s="1"/>
      <c r="MAX224" s="1"/>
      <c r="MAY224" s="1"/>
      <c r="MAZ224" s="1"/>
      <c r="MBA224" s="1"/>
      <c r="MBB224" s="1"/>
      <c r="MBC224" s="1"/>
      <c r="MBD224" s="1"/>
      <c r="MBE224" s="1"/>
      <c r="MBF224" s="1"/>
      <c r="MBG224" s="1"/>
      <c r="MBH224" s="1"/>
      <c r="MBI224" s="1"/>
      <c r="MBJ224" s="1"/>
      <c r="MBK224" s="1"/>
      <c r="MBL224" s="1"/>
      <c r="MBM224" s="1"/>
      <c r="MBN224" s="1"/>
      <c r="MBO224" s="1"/>
      <c r="MBP224" s="1"/>
      <c r="MBQ224" s="1"/>
      <c r="MBR224" s="1"/>
      <c r="MBS224" s="1"/>
      <c r="MBT224" s="1"/>
      <c r="MBU224" s="1"/>
      <c r="MBV224" s="1"/>
      <c r="MBW224" s="1"/>
      <c r="MBX224" s="1"/>
      <c r="MBY224" s="1"/>
      <c r="MBZ224" s="1"/>
      <c r="MCA224" s="1"/>
      <c r="MCB224" s="1"/>
      <c r="MCC224" s="1"/>
      <c r="MCD224" s="1"/>
      <c r="MCE224" s="1"/>
      <c r="MCF224" s="1"/>
      <c r="MCG224" s="1"/>
      <c r="MCH224" s="1"/>
      <c r="MCI224" s="1"/>
      <c r="MCJ224" s="1"/>
      <c r="MCK224" s="1"/>
      <c r="MCL224" s="1"/>
      <c r="MCM224" s="1"/>
      <c r="MCN224" s="1"/>
      <c r="MCO224" s="1"/>
      <c r="MCP224" s="1"/>
      <c r="MCQ224" s="1"/>
      <c r="MCR224" s="1"/>
      <c r="MCS224" s="1"/>
      <c r="MCT224" s="1"/>
      <c r="MCU224" s="1"/>
      <c r="MCV224" s="1"/>
      <c r="MCW224" s="1"/>
      <c r="MCX224" s="1"/>
      <c r="MCY224" s="1"/>
      <c r="MCZ224" s="1"/>
      <c r="MDA224" s="1"/>
      <c r="MDB224" s="1"/>
      <c r="MDC224" s="1"/>
      <c r="MDD224" s="1"/>
      <c r="MDE224" s="1"/>
      <c r="MDF224" s="1"/>
      <c r="MDG224" s="1"/>
      <c r="MDH224" s="1"/>
      <c r="MDI224" s="1"/>
      <c r="MDJ224" s="1"/>
      <c r="MDK224" s="1"/>
      <c r="MDL224" s="1"/>
      <c r="MDM224" s="1"/>
      <c r="MDN224" s="1"/>
      <c r="MDO224" s="1"/>
      <c r="MDP224" s="1"/>
      <c r="MDQ224" s="1"/>
      <c r="MDR224" s="1"/>
      <c r="MDS224" s="1"/>
      <c r="MDT224" s="1"/>
      <c r="MDU224" s="1"/>
      <c r="MDV224" s="1"/>
      <c r="MDW224" s="1"/>
      <c r="MDX224" s="1"/>
      <c r="MDY224" s="1"/>
      <c r="MDZ224" s="1"/>
      <c r="MEA224" s="1"/>
      <c r="MEB224" s="1"/>
      <c r="MEC224" s="1"/>
      <c r="MED224" s="1"/>
      <c r="MEE224" s="1"/>
      <c r="MEF224" s="1"/>
      <c r="MEG224" s="1"/>
      <c r="MEH224" s="1"/>
      <c r="MEI224" s="1"/>
      <c r="MEJ224" s="1"/>
      <c r="MEK224" s="1"/>
      <c r="MEL224" s="1"/>
      <c r="MEM224" s="1"/>
      <c r="MEN224" s="1"/>
      <c r="MEO224" s="1"/>
      <c r="MEP224" s="1"/>
      <c r="MEQ224" s="1"/>
      <c r="MER224" s="1"/>
      <c r="MES224" s="1"/>
      <c r="MET224" s="1"/>
      <c r="MEU224" s="1"/>
      <c r="MEV224" s="1"/>
      <c r="MEW224" s="1"/>
      <c r="MEX224" s="1"/>
      <c r="MEY224" s="1"/>
      <c r="MEZ224" s="1"/>
      <c r="MFA224" s="1"/>
      <c r="MFB224" s="1"/>
      <c r="MFC224" s="1"/>
      <c r="MFD224" s="1"/>
      <c r="MFE224" s="1"/>
      <c r="MFF224" s="1"/>
      <c r="MFG224" s="1"/>
      <c r="MFH224" s="1"/>
      <c r="MFI224" s="1"/>
      <c r="MFJ224" s="1"/>
      <c r="MFK224" s="1"/>
      <c r="MFL224" s="1"/>
      <c r="MFM224" s="1"/>
      <c r="MFN224" s="1"/>
      <c r="MFO224" s="1"/>
      <c r="MFP224" s="1"/>
      <c r="MFQ224" s="1"/>
      <c r="MFR224" s="1"/>
      <c r="MFS224" s="1"/>
      <c r="MFT224" s="1"/>
      <c r="MFU224" s="1"/>
      <c r="MFV224" s="1"/>
      <c r="MFW224" s="1"/>
      <c r="MFX224" s="1"/>
      <c r="MFY224" s="1"/>
      <c r="MFZ224" s="1"/>
      <c r="MGA224" s="1"/>
      <c r="MGB224" s="1"/>
      <c r="MGC224" s="1"/>
      <c r="MGD224" s="1"/>
      <c r="MGE224" s="1"/>
      <c r="MGF224" s="1"/>
      <c r="MGG224" s="1"/>
      <c r="MGH224" s="1"/>
      <c r="MGI224" s="1"/>
      <c r="MGJ224" s="1"/>
      <c r="MGK224" s="1"/>
      <c r="MGL224" s="1"/>
      <c r="MGM224" s="1"/>
      <c r="MGN224" s="1"/>
      <c r="MGO224" s="1"/>
      <c r="MGP224" s="1"/>
      <c r="MGQ224" s="1"/>
      <c r="MGR224" s="1"/>
      <c r="MGS224" s="1"/>
      <c r="MGT224" s="1"/>
      <c r="MGU224" s="1"/>
      <c r="MGV224" s="1"/>
      <c r="MGW224" s="1"/>
      <c r="MGX224" s="1"/>
      <c r="MGY224" s="1"/>
      <c r="MGZ224" s="1"/>
      <c r="MHA224" s="1"/>
      <c r="MHB224" s="1"/>
      <c r="MHC224" s="1"/>
      <c r="MHD224" s="1"/>
      <c r="MHE224" s="1"/>
      <c r="MHF224" s="1"/>
      <c r="MHG224" s="1"/>
      <c r="MHH224" s="1"/>
      <c r="MHI224" s="1"/>
      <c r="MHJ224" s="1"/>
      <c r="MHK224" s="1"/>
      <c r="MHL224" s="1"/>
      <c r="MHM224" s="1"/>
      <c r="MHN224" s="1"/>
      <c r="MHO224" s="1"/>
      <c r="MHP224" s="1"/>
      <c r="MHQ224" s="1"/>
      <c r="MHR224" s="1"/>
      <c r="MHS224" s="1"/>
      <c r="MHT224" s="1"/>
      <c r="MHU224" s="1"/>
      <c r="MHV224" s="1"/>
      <c r="MHW224" s="1"/>
      <c r="MHX224" s="1"/>
      <c r="MHY224" s="1"/>
      <c r="MHZ224" s="1"/>
      <c r="MIA224" s="1"/>
      <c r="MIB224" s="1"/>
      <c r="MIC224" s="1"/>
      <c r="MID224" s="1"/>
      <c r="MIE224" s="1"/>
      <c r="MIF224" s="1"/>
      <c r="MIG224" s="1"/>
      <c r="MIH224" s="1"/>
      <c r="MII224" s="1"/>
      <c r="MIJ224" s="1"/>
      <c r="MIK224" s="1"/>
      <c r="MIL224" s="1"/>
      <c r="MIM224" s="1"/>
      <c r="MIN224" s="1"/>
      <c r="MIO224" s="1"/>
      <c r="MIP224" s="1"/>
      <c r="MIQ224" s="1"/>
      <c r="MIR224" s="1"/>
      <c r="MIS224" s="1"/>
      <c r="MIT224" s="1"/>
      <c r="MIU224" s="1"/>
      <c r="MIV224" s="1"/>
      <c r="MIW224" s="1"/>
      <c r="MIX224" s="1"/>
      <c r="MIY224" s="1"/>
      <c r="MIZ224" s="1"/>
      <c r="MJA224" s="1"/>
      <c r="MJB224" s="1"/>
      <c r="MJC224" s="1"/>
      <c r="MJD224" s="1"/>
      <c r="MJE224" s="1"/>
      <c r="MJF224" s="1"/>
      <c r="MJG224" s="1"/>
      <c r="MJH224" s="1"/>
      <c r="MJI224" s="1"/>
      <c r="MJJ224" s="1"/>
      <c r="MJK224" s="1"/>
      <c r="MJL224" s="1"/>
      <c r="MJM224" s="1"/>
      <c r="MJN224" s="1"/>
      <c r="MJO224" s="1"/>
      <c r="MJP224" s="1"/>
      <c r="MJQ224" s="1"/>
      <c r="MJR224" s="1"/>
      <c r="MJS224" s="1"/>
      <c r="MJT224" s="1"/>
      <c r="MJU224" s="1"/>
      <c r="MJV224" s="1"/>
      <c r="MJW224" s="1"/>
      <c r="MJX224" s="1"/>
      <c r="MJY224" s="1"/>
      <c r="MJZ224" s="1"/>
      <c r="MKA224" s="1"/>
      <c r="MKB224" s="1"/>
      <c r="MKC224" s="1"/>
      <c r="MKD224" s="1"/>
      <c r="MKE224" s="1"/>
      <c r="MKF224" s="1"/>
      <c r="MKG224" s="1"/>
      <c r="MKH224" s="1"/>
      <c r="MKI224" s="1"/>
      <c r="MKJ224" s="1"/>
      <c r="MKK224" s="1"/>
      <c r="MKL224" s="1"/>
      <c r="MKM224" s="1"/>
      <c r="MKN224" s="1"/>
      <c r="MKO224" s="1"/>
      <c r="MKP224" s="1"/>
      <c r="MKQ224" s="1"/>
      <c r="MKR224" s="1"/>
      <c r="MKS224" s="1"/>
      <c r="MKT224" s="1"/>
      <c r="MKU224" s="1"/>
      <c r="MKV224" s="1"/>
      <c r="MKW224" s="1"/>
      <c r="MKX224" s="1"/>
      <c r="MKY224" s="1"/>
      <c r="MKZ224" s="1"/>
      <c r="MLA224" s="1"/>
      <c r="MLB224" s="1"/>
      <c r="MLC224" s="1"/>
      <c r="MLD224" s="1"/>
      <c r="MLE224" s="1"/>
      <c r="MLF224" s="1"/>
      <c r="MLG224" s="1"/>
      <c r="MLH224" s="1"/>
      <c r="MLI224" s="1"/>
      <c r="MLJ224" s="1"/>
      <c r="MLK224" s="1"/>
      <c r="MLL224" s="1"/>
      <c r="MLM224" s="1"/>
      <c r="MLN224" s="1"/>
      <c r="MLO224" s="1"/>
      <c r="MLP224" s="1"/>
      <c r="MLQ224" s="1"/>
      <c r="MLR224" s="1"/>
      <c r="MLS224" s="1"/>
      <c r="MLT224" s="1"/>
      <c r="MLU224" s="1"/>
      <c r="MLV224" s="1"/>
      <c r="MLW224" s="1"/>
      <c r="MLX224" s="1"/>
      <c r="MLY224" s="1"/>
      <c r="MLZ224" s="1"/>
      <c r="MMA224" s="1"/>
      <c r="MMB224" s="1"/>
      <c r="MMC224" s="1"/>
      <c r="MMD224" s="1"/>
      <c r="MME224" s="1"/>
      <c r="MMF224" s="1"/>
      <c r="MMG224" s="1"/>
      <c r="MMH224" s="1"/>
      <c r="MMI224" s="1"/>
      <c r="MMJ224" s="1"/>
      <c r="MMK224" s="1"/>
      <c r="MML224" s="1"/>
      <c r="MMM224" s="1"/>
      <c r="MMN224" s="1"/>
      <c r="MMO224" s="1"/>
      <c r="MMP224" s="1"/>
      <c r="MMQ224" s="1"/>
      <c r="MMR224" s="1"/>
      <c r="MMS224" s="1"/>
      <c r="MMT224" s="1"/>
      <c r="MMU224" s="1"/>
      <c r="MMV224" s="1"/>
      <c r="MMW224" s="1"/>
      <c r="MMX224" s="1"/>
      <c r="MMY224" s="1"/>
      <c r="MMZ224" s="1"/>
      <c r="MNA224" s="1"/>
      <c r="MNB224" s="1"/>
      <c r="MNC224" s="1"/>
      <c r="MND224" s="1"/>
      <c r="MNE224" s="1"/>
      <c r="MNF224" s="1"/>
      <c r="MNG224" s="1"/>
      <c r="MNH224" s="1"/>
      <c r="MNI224" s="1"/>
      <c r="MNJ224" s="1"/>
      <c r="MNK224" s="1"/>
      <c r="MNL224" s="1"/>
      <c r="MNM224" s="1"/>
      <c r="MNN224" s="1"/>
      <c r="MNO224" s="1"/>
      <c r="MNP224" s="1"/>
      <c r="MNQ224" s="1"/>
      <c r="MNR224" s="1"/>
      <c r="MNS224" s="1"/>
      <c r="MNT224" s="1"/>
      <c r="MNU224" s="1"/>
      <c r="MNV224" s="1"/>
      <c r="MNW224" s="1"/>
      <c r="MNX224" s="1"/>
      <c r="MNY224" s="1"/>
      <c r="MNZ224" s="1"/>
      <c r="MOA224" s="1"/>
      <c r="MOB224" s="1"/>
      <c r="MOC224" s="1"/>
      <c r="MOD224" s="1"/>
      <c r="MOE224" s="1"/>
      <c r="MOF224" s="1"/>
      <c r="MOG224" s="1"/>
      <c r="MOH224" s="1"/>
      <c r="MOI224" s="1"/>
      <c r="MOJ224" s="1"/>
      <c r="MOK224" s="1"/>
      <c r="MOL224" s="1"/>
      <c r="MOM224" s="1"/>
      <c r="MON224" s="1"/>
      <c r="MOO224" s="1"/>
      <c r="MOP224" s="1"/>
      <c r="MOQ224" s="1"/>
      <c r="MOR224" s="1"/>
      <c r="MOS224" s="1"/>
      <c r="MOT224" s="1"/>
      <c r="MOU224" s="1"/>
      <c r="MOV224" s="1"/>
      <c r="MOW224" s="1"/>
      <c r="MOX224" s="1"/>
      <c r="MOY224" s="1"/>
      <c r="MOZ224" s="1"/>
      <c r="MPA224" s="1"/>
      <c r="MPB224" s="1"/>
      <c r="MPC224" s="1"/>
      <c r="MPD224" s="1"/>
      <c r="MPE224" s="1"/>
      <c r="MPF224" s="1"/>
      <c r="MPG224" s="1"/>
      <c r="MPH224" s="1"/>
      <c r="MPI224" s="1"/>
      <c r="MPJ224" s="1"/>
      <c r="MPK224" s="1"/>
      <c r="MPL224" s="1"/>
      <c r="MPM224" s="1"/>
      <c r="MPN224" s="1"/>
      <c r="MPO224" s="1"/>
      <c r="MPP224" s="1"/>
      <c r="MPQ224" s="1"/>
      <c r="MPR224" s="1"/>
      <c r="MPS224" s="1"/>
      <c r="MPT224" s="1"/>
      <c r="MPU224" s="1"/>
      <c r="MPV224" s="1"/>
      <c r="MPW224" s="1"/>
      <c r="MPX224" s="1"/>
      <c r="MPY224" s="1"/>
      <c r="MPZ224" s="1"/>
      <c r="MQA224" s="1"/>
      <c r="MQB224" s="1"/>
      <c r="MQC224" s="1"/>
      <c r="MQD224" s="1"/>
      <c r="MQE224" s="1"/>
      <c r="MQF224" s="1"/>
      <c r="MQG224" s="1"/>
      <c r="MQH224" s="1"/>
      <c r="MQI224" s="1"/>
      <c r="MQJ224" s="1"/>
      <c r="MQK224" s="1"/>
      <c r="MQL224" s="1"/>
      <c r="MQM224" s="1"/>
      <c r="MQN224" s="1"/>
      <c r="MQO224" s="1"/>
      <c r="MQP224" s="1"/>
      <c r="MQQ224" s="1"/>
      <c r="MQR224" s="1"/>
      <c r="MQS224" s="1"/>
      <c r="MQT224" s="1"/>
      <c r="MQU224" s="1"/>
      <c r="MQV224" s="1"/>
      <c r="MQW224" s="1"/>
      <c r="MQX224" s="1"/>
      <c r="MQY224" s="1"/>
      <c r="MQZ224" s="1"/>
      <c r="MRA224" s="1"/>
      <c r="MRB224" s="1"/>
      <c r="MRC224" s="1"/>
      <c r="MRD224" s="1"/>
      <c r="MRE224" s="1"/>
      <c r="MRF224" s="1"/>
      <c r="MRG224" s="1"/>
      <c r="MRH224" s="1"/>
      <c r="MRI224" s="1"/>
      <c r="MRJ224" s="1"/>
      <c r="MRK224" s="1"/>
      <c r="MRL224" s="1"/>
      <c r="MRM224" s="1"/>
      <c r="MRN224" s="1"/>
      <c r="MRO224" s="1"/>
      <c r="MRP224" s="1"/>
      <c r="MRQ224" s="1"/>
      <c r="MRR224" s="1"/>
      <c r="MRS224" s="1"/>
      <c r="MRT224" s="1"/>
      <c r="MRU224" s="1"/>
      <c r="MRV224" s="1"/>
      <c r="MRW224" s="1"/>
      <c r="MRX224" s="1"/>
      <c r="MRY224" s="1"/>
      <c r="MRZ224" s="1"/>
      <c r="MSA224" s="1"/>
      <c r="MSB224" s="1"/>
      <c r="MSC224" s="1"/>
      <c r="MSD224" s="1"/>
      <c r="MSE224" s="1"/>
      <c r="MSF224" s="1"/>
      <c r="MSG224" s="1"/>
      <c r="MSH224" s="1"/>
      <c r="MSI224" s="1"/>
      <c r="MSJ224" s="1"/>
      <c r="MSK224" s="1"/>
      <c r="MSL224" s="1"/>
      <c r="MSM224" s="1"/>
      <c r="MSN224" s="1"/>
      <c r="MSO224" s="1"/>
      <c r="MSP224" s="1"/>
      <c r="MSQ224" s="1"/>
      <c r="MSR224" s="1"/>
      <c r="MSS224" s="1"/>
      <c r="MST224" s="1"/>
      <c r="MSU224" s="1"/>
      <c r="MSV224" s="1"/>
      <c r="MSW224" s="1"/>
      <c r="MSX224" s="1"/>
      <c r="MSY224" s="1"/>
      <c r="MSZ224" s="1"/>
      <c r="MTA224" s="1"/>
      <c r="MTB224" s="1"/>
      <c r="MTC224" s="1"/>
      <c r="MTD224" s="1"/>
      <c r="MTE224" s="1"/>
      <c r="MTF224" s="1"/>
      <c r="MTG224" s="1"/>
      <c r="MTH224" s="1"/>
      <c r="MTI224" s="1"/>
      <c r="MTJ224" s="1"/>
      <c r="MTK224" s="1"/>
      <c r="MTL224" s="1"/>
      <c r="MTM224" s="1"/>
      <c r="MTN224" s="1"/>
      <c r="MTO224" s="1"/>
      <c r="MTP224" s="1"/>
      <c r="MTQ224" s="1"/>
      <c r="MTR224" s="1"/>
      <c r="MTS224" s="1"/>
      <c r="MTT224" s="1"/>
      <c r="MTU224" s="1"/>
      <c r="MTV224" s="1"/>
      <c r="MTW224" s="1"/>
      <c r="MTX224" s="1"/>
      <c r="MTY224" s="1"/>
      <c r="MTZ224" s="1"/>
      <c r="MUA224" s="1"/>
      <c r="MUB224" s="1"/>
      <c r="MUC224" s="1"/>
      <c r="MUD224" s="1"/>
      <c r="MUE224" s="1"/>
      <c r="MUF224" s="1"/>
      <c r="MUG224" s="1"/>
      <c r="MUH224" s="1"/>
      <c r="MUI224" s="1"/>
      <c r="MUJ224" s="1"/>
      <c r="MUK224" s="1"/>
      <c r="MUL224" s="1"/>
      <c r="MUM224" s="1"/>
      <c r="MUN224" s="1"/>
      <c r="MUO224" s="1"/>
      <c r="MUP224" s="1"/>
      <c r="MUQ224" s="1"/>
      <c r="MUR224" s="1"/>
      <c r="MUS224" s="1"/>
      <c r="MUT224" s="1"/>
      <c r="MUU224" s="1"/>
      <c r="MUV224" s="1"/>
      <c r="MUW224" s="1"/>
      <c r="MUX224" s="1"/>
      <c r="MUY224" s="1"/>
      <c r="MUZ224" s="1"/>
      <c r="MVA224" s="1"/>
      <c r="MVB224" s="1"/>
      <c r="MVC224" s="1"/>
      <c r="MVD224" s="1"/>
      <c r="MVE224" s="1"/>
      <c r="MVF224" s="1"/>
      <c r="MVG224" s="1"/>
      <c r="MVH224" s="1"/>
      <c r="MVI224" s="1"/>
      <c r="MVJ224" s="1"/>
      <c r="MVK224" s="1"/>
      <c r="MVL224" s="1"/>
      <c r="MVM224" s="1"/>
      <c r="MVN224" s="1"/>
      <c r="MVO224" s="1"/>
      <c r="MVP224" s="1"/>
      <c r="MVQ224" s="1"/>
      <c r="MVR224" s="1"/>
      <c r="MVS224" s="1"/>
      <c r="MVT224" s="1"/>
      <c r="MVU224" s="1"/>
      <c r="MVV224" s="1"/>
      <c r="MVW224" s="1"/>
      <c r="MVX224" s="1"/>
      <c r="MVY224" s="1"/>
      <c r="MVZ224" s="1"/>
      <c r="MWA224" s="1"/>
      <c r="MWB224" s="1"/>
      <c r="MWC224" s="1"/>
      <c r="MWD224" s="1"/>
      <c r="MWE224" s="1"/>
      <c r="MWF224" s="1"/>
      <c r="MWG224" s="1"/>
      <c r="MWH224" s="1"/>
      <c r="MWI224" s="1"/>
      <c r="MWJ224" s="1"/>
      <c r="MWK224" s="1"/>
      <c r="MWL224" s="1"/>
      <c r="MWM224" s="1"/>
      <c r="MWN224" s="1"/>
      <c r="MWO224" s="1"/>
      <c r="MWP224" s="1"/>
      <c r="MWQ224" s="1"/>
      <c r="MWR224" s="1"/>
      <c r="MWS224" s="1"/>
      <c r="MWT224" s="1"/>
      <c r="MWU224" s="1"/>
      <c r="MWV224" s="1"/>
      <c r="MWW224" s="1"/>
      <c r="MWX224" s="1"/>
      <c r="MWY224" s="1"/>
      <c r="MWZ224" s="1"/>
      <c r="MXA224" s="1"/>
      <c r="MXB224" s="1"/>
      <c r="MXC224" s="1"/>
      <c r="MXD224" s="1"/>
      <c r="MXE224" s="1"/>
      <c r="MXF224" s="1"/>
      <c r="MXG224" s="1"/>
      <c r="MXH224" s="1"/>
      <c r="MXI224" s="1"/>
      <c r="MXJ224" s="1"/>
      <c r="MXK224" s="1"/>
      <c r="MXL224" s="1"/>
      <c r="MXM224" s="1"/>
      <c r="MXN224" s="1"/>
      <c r="MXO224" s="1"/>
      <c r="MXP224" s="1"/>
      <c r="MXQ224" s="1"/>
      <c r="MXR224" s="1"/>
      <c r="MXS224" s="1"/>
      <c r="MXT224" s="1"/>
      <c r="MXU224" s="1"/>
      <c r="MXV224" s="1"/>
      <c r="MXW224" s="1"/>
      <c r="MXX224" s="1"/>
      <c r="MXY224" s="1"/>
      <c r="MXZ224" s="1"/>
      <c r="MYA224" s="1"/>
      <c r="MYB224" s="1"/>
      <c r="MYC224" s="1"/>
      <c r="MYD224" s="1"/>
      <c r="MYE224" s="1"/>
      <c r="MYF224" s="1"/>
      <c r="MYG224" s="1"/>
      <c r="MYH224" s="1"/>
      <c r="MYI224" s="1"/>
      <c r="MYJ224" s="1"/>
      <c r="MYK224" s="1"/>
      <c r="MYL224" s="1"/>
      <c r="MYM224" s="1"/>
      <c r="MYN224" s="1"/>
      <c r="MYO224" s="1"/>
      <c r="MYP224" s="1"/>
      <c r="MYQ224" s="1"/>
      <c r="MYR224" s="1"/>
      <c r="MYS224" s="1"/>
      <c r="MYT224" s="1"/>
      <c r="MYU224" s="1"/>
      <c r="MYV224" s="1"/>
      <c r="MYW224" s="1"/>
      <c r="MYX224" s="1"/>
      <c r="MYY224" s="1"/>
      <c r="MYZ224" s="1"/>
      <c r="MZA224" s="1"/>
      <c r="MZB224" s="1"/>
      <c r="MZC224" s="1"/>
      <c r="MZD224" s="1"/>
      <c r="MZE224" s="1"/>
      <c r="MZF224" s="1"/>
      <c r="MZG224" s="1"/>
      <c r="MZH224" s="1"/>
      <c r="MZI224" s="1"/>
      <c r="MZJ224" s="1"/>
      <c r="MZK224" s="1"/>
      <c r="MZL224" s="1"/>
      <c r="MZM224" s="1"/>
      <c r="MZN224" s="1"/>
      <c r="MZO224" s="1"/>
      <c r="MZP224" s="1"/>
      <c r="MZQ224" s="1"/>
      <c r="MZR224" s="1"/>
      <c r="MZS224" s="1"/>
      <c r="MZT224" s="1"/>
      <c r="MZU224" s="1"/>
      <c r="MZV224" s="1"/>
      <c r="MZW224" s="1"/>
      <c r="MZX224" s="1"/>
      <c r="MZY224" s="1"/>
      <c r="MZZ224" s="1"/>
      <c r="NAA224" s="1"/>
      <c r="NAB224" s="1"/>
      <c r="NAC224" s="1"/>
      <c r="NAD224" s="1"/>
      <c r="NAE224" s="1"/>
      <c r="NAF224" s="1"/>
      <c r="NAG224" s="1"/>
      <c r="NAH224" s="1"/>
      <c r="NAI224" s="1"/>
      <c r="NAJ224" s="1"/>
      <c r="NAK224" s="1"/>
      <c r="NAL224" s="1"/>
      <c r="NAM224" s="1"/>
      <c r="NAN224" s="1"/>
      <c r="NAO224" s="1"/>
      <c r="NAP224" s="1"/>
      <c r="NAQ224" s="1"/>
      <c r="NAR224" s="1"/>
      <c r="NAS224" s="1"/>
      <c r="NAT224" s="1"/>
      <c r="NAU224" s="1"/>
      <c r="NAV224" s="1"/>
      <c r="NAW224" s="1"/>
      <c r="NAX224" s="1"/>
      <c r="NAY224" s="1"/>
      <c r="NAZ224" s="1"/>
      <c r="NBA224" s="1"/>
      <c r="NBB224" s="1"/>
      <c r="NBC224" s="1"/>
      <c r="NBD224" s="1"/>
      <c r="NBE224" s="1"/>
      <c r="NBF224" s="1"/>
      <c r="NBG224" s="1"/>
      <c r="NBH224" s="1"/>
      <c r="NBI224" s="1"/>
      <c r="NBJ224" s="1"/>
      <c r="NBK224" s="1"/>
      <c r="NBL224" s="1"/>
      <c r="NBM224" s="1"/>
      <c r="NBN224" s="1"/>
      <c r="NBO224" s="1"/>
      <c r="NBP224" s="1"/>
      <c r="NBQ224" s="1"/>
      <c r="NBR224" s="1"/>
      <c r="NBS224" s="1"/>
      <c r="NBT224" s="1"/>
      <c r="NBU224" s="1"/>
      <c r="NBV224" s="1"/>
      <c r="NBW224" s="1"/>
      <c r="NBX224" s="1"/>
      <c r="NBY224" s="1"/>
      <c r="NBZ224" s="1"/>
      <c r="NCA224" s="1"/>
      <c r="NCB224" s="1"/>
      <c r="NCC224" s="1"/>
      <c r="NCD224" s="1"/>
      <c r="NCE224" s="1"/>
      <c r="NCF224" s="1"/>
      <c r="NCG224" s="1"/>
      <c r="NCH224" s="1"/>
      <c r="NCI224" s="1"/>
      <c r="NCJ224" s="1"/>
      <c r="NCK224" s="1"/>
      <c r="NCL224" s="1"/>
      <c r="NCM224" s="1"/>
      <c r="NCN224" s="1"/>
      <c r="NCO224" s="1"/>
      <c r="NCP224" s="1"/>
      <c r="NCQ224" s="1"/>
      <c r="NCR224" s="1"/>
      <c r="NCS224" s="1"/>
      <c r="NCT224" s="1"/>
      <c r="NCU224" s="1"/>
      <c r="NCV224" s="1"/>
      <c r="NCW224" s="1"/>
      <c r="NCX224" s="1"/>
      <c r="NCY224" s="1"/>
      <c r="NCZ224" s="1"/>
      <c r="NDA224" s="1"/>
      <c r="NDB224" s="1"/>
      <c r="NDC224" s="1"/>
      <c r="NDD224" s="1"/>
      <c r="NDE224" s="1"/>
      <c r="NDF224" s="1"/>
      <c r="NDG224" s="1"/>
      <c r="NDH224" s="1"/>
      <c r="NDI224" s="1"/>
      <c r="NDJ224" s="1"/>
      <c r="NDK224" s="1"/>
      <c r="NDL224" s="1"/>
      <c r="NDM224" s="1"/>
      <c r="NDN224" s="1"/>
      <c r="NDO224" s="1"/>
      <c r="NDP224" s="1"/>
      <c r="NDQ224" s="1"/>
      <c r="NDR224" s="1"/>
      <c r="NDS224" s="1"/>
      <c r="NDT224" s="1"/>
      <c r="NDU224" s="1"/>
      <c r="NDV224" s="1"/>
      <c r="NDW224" s="1"/>
      <c r="NDX224" s="1"/>
      <c r="NDY224" s="1"/>
      <c r="NDZ224" s="1"/>
      <c r="NEA224" s="1"/>
      <c r="NEB224" s="1"/>
      <c r="NEC224" s="1"/>
      <c r="NED224" s="1"/>
      <c r="NEE224" s="1"/>
      <c r="NEF224" s="1"/>
      <c r="NEG224" s="1"/>
      <c r="NEH224" s="1"/>
      <c r="NEI224" s="1"/>
      <c r="NEJ224" s="1"/>
      <c r="NEK224" s="1"/>
      <c r="NEL224" s="1"/>
      <c r="NEM224" s="1"/>
      <c r="NEN224" s="1"/>
      <c r="NEO224" s="1"/>
      <c r="NEP224" s="1"/>
      <c r="NEQ224" s="1"/>
      <c r="NER224" s="1"/>
      <c r="NES224" s="1"/>
      <c r="NET224" s="1"/>
      <c r="NEU224" s="1"/>
      <c r="NEV224" s="1"/>
      <c r="NEW224" s="1"/>
      <c r="NEX224" s="1"/>
      <c r="NEY224" s="1"/>
      <c r="NEZ224" s="1"/>
      <c r="NFA224" s="1"/>
      <c r="NFB224" s="1"/>
      <c r="NFC224" s="1"/>
      <c r="NFD224" s="1"/>
      <c r="NFE224" s="1"/>
      <c r="NFF224" s="1"/>
      <c r="NFG224" s="1"/>
      <c r="NFH224" s="1"/>
      <c r="NFI224" s="1"/>
      <c r="NFJ224" s="1"/>
      <c r="NFK224" s="1"/>
      <c r="NFL224" s="1"/>
      <c r="NFM224" s="1"/>
      <c r="NFN224" s="1"/>
      <c r="NFO224" s="1"/>
      <c r="NFP224" s="1"/>
      <c r="NFQ224" s="1"/>
      <c r="NFR224" s="1"/>
      <c r="NFS224" s="1"/>
      <c r="NFT224" s="1"/>
      <c r="NFU224" s="1"/>
      <c r="NFV224" s="1"/>
      <c r="NFW224" s="1"/>
      <c r="NFX224" s="1"/>
      <c r="NFY224" s="1"/>
      <c r="NFZ224" s="1"/>
      <c r="NGA224" s="1"/>
      <c r="NGB224" s="1"/>
      <c r="NGC224" s="1"/>
      <c r="NGD224" s="1"/>
      <c r="NGE224" s="1"/>
      <c r="NGF224" s="1"/>
      <c r="NGG224" s="1"/>
      <c r="NGH224" s="1"/>
      <c r="NGI224" s="1"/>
      <c r="NGJ224" s="1"/>
      <c r="NGK224" s="1"/>
      <c r="NGL224" s="1"/>
      <c r="NGM224" s="1"/>
      <c r="NGN224" s="1"/>
      <c r="NGO224" s="1"/>
      <c r="NGP224" s="1"/>
      <c r="NGQ224" s="1"/>
      <c r="NGR224" s="1"/>
      <c r="NGS224" s="1"/>
      <c r="NGT224" s="1"/>
      <c r="NGU224" s="1"/>
      <c r="NGV224" s="1"/>
      <c r="NGW224" s="1"/>
      <c r="NGX224" s="1"/>
      <c r="NGY224" s="1"/>
      <c r="NGZ224" s="1"/>
      <c r="NHA224" s="1"/>
      <c r="NHB224" s="1"/>
      <c r="NHC224" s="1"/>
      <c r="NHD224" s="1"/>
      <c r="NHE224" s="1"/>
      <c r="NHF224" s="1"/>
      <c r="NHG224" s="1"/>
      <c r="NHH224" s="1"/>
      <c r="NHI224" s="1"/>
      <c r="NHJ224" s="1"/>
      <c r="NHK224" s="1"/>
      <c r="NHL224" s="1"/>
      <c r="NHM224" s="1"/>
      <c r="NHN224" s="1"/>
      <c r="NHO224" s="1"/>
      <c r="NHP224" s="1"/>
      <c r="NHQ224" s="1"/>
      <c r="NHR224" s="1"/>
      <c r="NHS224" s="1"/>
      <c r="NHT224" s="1"/>
      <c r="NHU224" s="1"/>
      <c r="NHV224" s="1"/>
      <c r="NHW224" s="1"/>
      <c r="NHX224" s="1"/>
      <c r="NHY224" s="1"/>
      <c r="NHZ224" s="1"/>
      <c r="NIA224" s="1"/>
      <c r="NIB224" s="1"/>
      <c r="NIC224" s="1"/>
      <c r="NID224" s="1"/>
      <c r="NIE224" s="1"/>
      <c r="NIF224" s="1"/>
      <c r="NIG224" s="1"/>
      <c r="NIH224" s="1"/>
      <c r="NII224" s="1"/>
      <c r="NIJ224" s="1"/>
      <c r="NIK224" s="1"/>
      <c r="NIL224" s="1"/>
      <c r="NIM224" s="1"/>
      <c r="NIN224" s="1"/>
      <c r="NIO224" s="1"/>
      <c r="NIP224" s="1"/>
      <c r="NIQ224" s="1"/>
      <c r="NIR224" s="1"/>
      <c r="NIS224" s="1"/>
      <c r="NIT224" s="1"/>
      <c r="NIU224" s="1"/>
      <c r="NIV224" s="1"/>
      <c r="NIW224" s="1"/>
      <c r="NIX224" s="1"/>
      <c r="NIY224" s="1"/>
      <c r="NIZ224" s="1"/>
      <c r="NJA224" s="1"/>
      <c r="NJB224" s="1"/>
      <c r="NJC224" s="1"/>
      <c r="NJD224" s="1"/>
      <c r="NJE224" s="1"/>
      <c r="NJF224" s="1"/>
      <c r="NJG224" s="1"/>
      <c r="NJH224" s="1"/>
      <c r="NJI224" s="1"/>
      <c r="NJJ224" s="1"/>
      <c r="NJK224" s="1"/>
      <c r="NJL224" s="1"/>
      <c r="NJM224" s="1"/>
      <c r="NJN224" s="1"/>
      <c r="NJO224" s="1"/>
      <c r="NJP224" s="1"/>
      <c r="NJQ224" s="1"/>
      <c r="NJR224" s="1"/>
      <c r="NJS224" s="1"/>
      <c r="NJT224" s="1"/>
      <c r="NJU224" s="1"/>
      <c r="NJV224" s="1"/>
      <c r="NJW224" s="1"/>
      <c r="NJX224" s="1"/>
      <c r="NJY224" s="1"/>
      <c r="NJZ224" s="1"/>
      <c r="NKA224" s="1"/>
      <c r="NKB224" s="1"/>
      <c r="NKC224" s="1"/>
      <c r="NKD224" s="1"/>
      <c r="NKE224" s="1"/>
      <c r="NKF224" s="1"/>
      <c r="NKG224" s="1"/>
      <c r="NKH224" s="1"/>
      <c r="NKI224" s="1"/>
      <c r="NKJ224" s="1"/>
      <c r="NKK224" s="1"/>
      <c r="NKL224" s="1"/>
      <c r="NKM224" s="1"/>
      <c r="NKN224" s="1"/>
      <c r="NKO224" s="1"/>
      <c r="NKP224" s="1"/>
      <c r="NKQ224" s="1"/>
      <c r="NKR224" s="1"/>
      <c r="NKS224" s="1"/>
      <c r="NKT224" s="1"/>
      <c r="NKU224" s="1"/>
      <c r="NKV224" s="1"/>
      <c r="NKW224" s="1"/>
      <c r="NKX224" s="1"/>
      <c r="NKY224" s="1"/>
      <c r="NKZ224" s="1"/>
      <c r="NLA224" s="1"/>
      <c r="NLB224" s="1"/>
      <c r="NLC224" s="1"/>
      <c r="NLD224" s="1"/>
      <c r="NLE224" s="1"/>
      <c r="NLF224" s="1"/>
      <c r="NLG224" s="1"/>
      <c r="NLH224" s="1"/>
      <c r="NLI224" s="1"/>
      <c r="NLJ224" s="1"/>
      <c r="NLK224" s="1"/>
      <c r="NLL224" s="1"/>
      <c r="NLM224" s="1"/>
      <c r="NLN224" s="1"/>
      <c r="NLO224" s="1"/>
      <c r="NLP224" s="1"/>
      <c r="NLQ224" s="1"/>
      <c r="NLR224" s="1"/>
      <c r="NLS224" s="1"/>
      <c r="NLT224" s="1"/>
      <c r="NLU224" s="1"/>
      <c r="NLV224" s="1"/>
      <c r="NLW224" s="1"/>
      <c r="NLX224" s="1"/>
      <c r="NLY224" s="1"/>
      <c r="NLZ224" s="1"/>
      <c r="NMA224" s="1"/>
      <c r="NMB224" s="1"/>
      <c r="NMC224" s="1"/>
      <c r="NMD224" s="1"/>
      <c r="NME224" s="1"/>
      <c r="NMF224" s="1"/>
      <c r="NMG224" s="1"/>
      <c r="NMH224" s="1"/>
      <c r="NMI224" s="1"/>
      <c r="NMJ224" s="1"/>
      <c r="NMK224" s="1"/>
      <c r="NML224" s="1"/>
      <c r="NMM224" s="1"/>
      <c r="NMN224" s="1"/>
      <c r="NMO224" s="1"/>
      <c r="NMP224" s="1"/>
      <c r="NMQ224" s="1"/>
      <c r="NMR224" s="1"/>
      <c r="NMS224" s="1"/>
      <c r="NMT224" s="1"/>
      <c r="NMU224" s="1"/>
      <c r="NMV224" s="1"/>
      <c r="NMW224" s="1"/>
      <c r="NMX224" s="1"/>
      <c r="NMY224" s="1"/>
      <c r="NMZ224" s="1"/>
      <c r="NNA224" s="1"/>
      <c r="NNB224" s="1"/>
      <c r="NNC224" s="1"/>
      <c r="NND224" s="1"/>
      <c r="NNE224" s="1"/>
      <c r="NNF224" s="1"/>
      <c r="NNG224" s="1"/>
      <c r="NNH224" s="1"/>
      <c r="NNI224" s="1"/>
      <c r="NNJ224" s="1"/>
      <c r="NNK224" s="1"/>
      <c r="NNL224" s="1"/>
      <c r="NNM224" s="1"/>
      <c r="NNN224" s="1"/>
      <c r="NNO224" s="1"/>
      <c r="NNP224" s="1"/>
      <c r="NNQ224" s="1"/>
      <c r="NNR224" s="1"/>
      <c r="NNS224" s="1"/>
      <c r="NNT224" s="1"/>
      <c r="NNU224" s="1"/>
      <c r="NNV224" s="1"/>
      <c r="NNW224" s="1"/>
      <c r="NNX224" s="1"/>
      <c r="NNY224" s="1"/>
      <c r="NNZ224" s="1"/>
      <c r="NOA224" s="1"/>
      <c r="NOB224" s="1"/>
      <c r="NOC224" s="1"/>
      <c r="NOD224" s="1"/>
      <c r="NOE224" s="1"/>
      <c r="NOF224" s="1"/>
      <c r="NOG224" s="1"/>
      <c r="NOH224" s="1"/>
      <c r="NOI224" s="1"/>
      <c r="NOJ224" s="1"/>
      <c r="NOK224" s="1"/>
      <c r="NOL224" s="1"/>
      <c r="NOM224" s="1"/>
      <c r="NON224" s="1"/>
      <c r="NOO224" s="1"/>
      <c r="NOP224" s="1"/>
      <c r="NOQ224" s="1"/>
      <c r="NOR224" s="1"/>
      <c r="NOS224" s="1"/>
      <c r="NOT224" s="1"/>
      <c r="NOU224" s="1"/>
      <c r="NOV224" s="1"/>
      <c r="NOW224" s="1"/>
      <c r="NOX224" s="1"/>
      <c r="NOY224" s="1"/>
      <c r="NOZ224" s="1"/>
      <c r="NPA224" s="1"/>
      <c r="NPB224" s="1"/>
      <c r="NPC224" s="1"/>
      <c r="NPD224" s="1"/>
      <c r="NPE224" s="1"/>
      <c r="NPF224" s="1"/>
      <c r="NPG224" s="1"/>
      <c r="NPH224" s="1"/>
      <c r="NPI224" s="1"/>
      <c r="NPJ224" s="1"/>
      <c r="NPK224" s="1"/>
      <c r="NPL224" s="1"/>
      <c r="NPM224" s="1"/>
      <c r="NPN224" s="1"/>
      <c r="NPO224" s="1"/>
      <c r="NPP224" s="1"/>
      <c r="NPQ224" s="1"/>
      <c r="NPR224" s="1"/>
      <c r="NPS224" s="1"/>
      <c r="NPT224" s="1"/>
      <c r="NPU224" s="1"/>
      <c r="NPV224" s="1"/>
      <c r="NPW224" s="1"/>
      <c r="NPX224" s="1"/>
      <c r="NPY224" s="1"/>
      <c r="NPZ224" s="1"/>
      <c r="NQA224" s="1"/>
      <c r="NQB224" s="1"/>
      <c r="NQC224" s="1"/>
      <c r="NQD224" s="1"/>
      <c r="NQE224" s="1"/>
      <c r="NQF224" s="1"/>
      <c r="NQG224" s="1"/>
      <c r="NQH224" s="1"/>
      <c r="NQI224" s="1"/>
      <c r="NQJ224" s="1"/>
      <c r="NQK224" s="1"/>
      <c r="NQL224" s="1"/>
      <c r="NQM224" s="1"/>
      <c r="NQN224" s="1"/>
      <c r="NQO224" s="1"/>
      <c r="NQP224" s="1"/>
      <c r="NQQ224" s="1"/>
      <c r="NQR224" s="1"/>
      <c r="NQS224" s="1"/>
      <c r="NQT224" s="1"/>
      <c r="NQU224" s="1"/>
      <c r="NQV224" s="1"/>
      <c r="NQW224" s="1"/>
      <c r="NQX224" s="1"/>
      <c r="NQY224" s="1"/>
      <c r="NQZ224" s="1"/>
      <c r="NRA224" s="1"/>
      <c r="NRB224" s="1"/>
      <c r="NRC224" s="1"/>
      <c r="NRD224" s="1"/>
      <c r="NRE224" s="1"/>
      <c r="NRF224" s="1"/>
      <c r="NRG224" s="1"/>
      <c r="NRH224" s="1"/>
      <c r="NRI224" s="1"/>
      <c r="NRJ224" s="1"/>
      <c r="NRK224" s="1"/>
      <c r="NRL224" s="1"/>
      <c r="NRM224" s="1"/>
      <c r="NRN224" s="1"/>
      <c r="NRO224" s="1"/>
      <c r="NRP224" s="1"/>
      <c r="NRQ224" s="1"/>
      <c r="NRR224" s="1"/>
      <c r="NRS224" s="1"/>
      <c r="NRT224" s="1"/>
      <c r="NRU224" s="1"/>
      <c r="NRV224" s="1"/>
      <c r="NRW224" s="1"/>
      <c r="NRX224" s="1"/>
      <c r="NRY224" s="1"/>
      <c r="NRZ224" s="1"/>
      <c r="NSA224" s="1"/>
      <c r="NSB224" s="1"/>
      <c r="NSC224" s="1"/>
      <c r="NSD224" s="1"/>
      <c r="NSE224" s="1"/>
      <c r="NSF224" s="1"/>
      <c r="NSG224" s="1"/>
      <c r="NSH224" s="1"/>
      <c r="NSI224" s="1"/>
      <c r="NSJ224" s="1"/>
      <c r="NSK224" s="1"/>
      <c r="NSL224" s="1"/>
      <c r="NSM224" s="1"/>
      <c r="NSN224" s="1"/>
      <c r="NSO224" s="1"/>
      <c r="NSP224" s="1"/>
      <c r="NSQ224" s="1"/>
      <c r="NSR224" s="1"/>
      <c r="NSS224" s="1"/>
      <c r="NST224" s="1"/>
      <c r="NSU224" s="1"/>
      <c r="NSV224" s="1"/>
      <c r="NSW224" s="1"/>
      <c r="NSX224" s="1"/>
      <c r="NSY224" s="1"/>
      <c r="NSZ224" s="1"/>
      <c r="NTA224" s="1"/>
      <c r="NTB224" s="1"/>
      <c r="NTC224" s="1"/>
      <c r="NTD224" s="1"/>
      <c r="NTE224" s="1"/>
      <c r="NTF224" s="1"/>
      <c r="NTG224" s="1"/>
      <c r="NTH224" s="1"/>
      <c r="NTI224" s="1"/>
      <c r="NTJ224" s="1"/>
      <c r="NTK224" s="1"/>
      <c r="NTL224" s="1"/>
      <c r="NTM224" s="1"/>
      <c r="NTN224" s="1"/>
      <c r="NTO224" s="1"/>
      <c r="NTP224" s="1"/>
      <c r="NTQ224" s="1"/>
      <c r="NTR224" s="1"/>
      <c r="NTS224" s="1"/>
      <c r="NTT224" s="1"/>
      <c r="NTU224" s="1"/>
      <c r="NTV224" s="1"/>
      <c r="NTW224" s="1"/>
      <c r="NTX224" s="1"/>
      <c r="NTY224" s="1"/>
      <c r="NTZ224" s="1"/>
      <c r="NUA224" s="1"/>
      <c r="NUB224" s="1"/>
      <c r="NUC224" s="1"/>
      <c r="NUD224" s="1"/>
      <c r="NUE224" s="1"/>
      <c r="NUF224" s="1"/>
      <c r="NUG224" s="1"/>
      <c r="NUH224" s="1"/>
      <c r="NUI224" s="1"/>
      <c r="NUJ224" s="1"/>
      <c r="NUK224" s="1"/>
      <c r="NUL224" s="1"/>
      <c r="NUM224" s="1"/>
      <c r="NUN224" s="1"/>
      <c r="NUO224" s="1"/>
      <c r="NUP224" s="1"/>
      <c r="NUQ224" s="1"/>
      <c r="NUR224" s="1"/>
      <c r="NUS224" s="1"/>
      <c r="NUT224" s="1"/>
      <c r="NUU224" s="1"/>
      <c r="NUV224" s="1"/>
      <c r="NUW224" s="1"/>
      <c r="NUX224" s="1"/>
      <c r="NUY224" s="1"/>
      <c r="NUZ224" s="1"/>
      <c r="NVA224" s="1"/>
      <c r="NVB224" s="1"/>
      <c r="NVC224" s="1"/>
      <c r="NVD224" s="1"/>
      <c r="NVE224" s="1"/>
      <c r="NVF224" s="1"/>
      <c r="NVG224" s="1"/>
      <c r="NVH224" s="1"/>
      <c r="NVI224" s="1"/>
      <c r="NVJ224" s="1"/>
      <c r="NVK224" s="1"/>
      <c r="NVL224" s="1"/>
      <c r="NVM224" s="1"/>
      <c r="NVN224" s="1"/>
      <c r="NVO224" s="1"/>
      <c r="NVP224" s="1"/>
      <c r="NVQ224" s="1"/>
      <c r="NVR224" s="1"/>
      <c r="NVS224" s="1"/>
      <c r="NVT224" s="1"/>
      <c r="NVU224" s="1"/>
      <c r="NVV224" s="1"/>
      <c r="NVW224" s="1"/>
      <c r="NVX224" s="1"/>
      <c r="NVY224" s="1"/>
      <c r="NVZ224" s="1"/>
      <c r="NWA224" s="1"/>
      <c r="NWB224" s="1"/>
      <c r="NWC224" s="1"/>
      <c r="NWD224" s="1"/>
      <c r="NWE224" s="1"/>
      <c r="NWF224" s="1"/>
      <c r="NWG224" s="1"/>
      <c r="NWH224" s="1"/>
      <c r="NWI224" s="1"/>
      <c r="NWJ224" s="1"/>
      <c r="NWK224" s="1"/>
      <c r="NWL224" s="1"/>
      <c r="NWM224" s="1"/>
      <c r="NWN224" s="1"/>
      <c r="NWO224" s="1"/>
      <c r="NWP224" s="1"/>
      <c r="NWQ224" s="1"/>
      <c r="NWR224" s="1"/>
      <c r="NWS224" s="1"/>
      <c r="NWT224" s="1"/>
      <c r="NWU224" s="1"/>
      <c r="NWV224" s="1"/>
      <c r="NWW224" s="1"/>
      <c r="NWX224" s="1"/>
      <c r="NWY224" s="1"/>
      <c r="NWZ224" s="1"/>
      <c r="NXA224" s="1"/>
      <c r="NXB224" s="1"/>
      <c r="NXC224" s="1"/>
      <c r="NXD224" s="1"/>
      <c r="NXE224" s="1"/>
      <c r="NXF224" s="1"/>
      <c r="NXG224" s="1"/>
      <c r="NXH224" s="1"/>
      <c r="NXI224" s="1"/>
      <c r="NXJ224" s="1"/>
      <c r="NXK224" s="1"/>
      <c r="NXL224" s="1"/>
      <c r="NXM224" s="1"/>
      <c r="NXN224" s="1"/>
      <c r="NXO224" s="1"/>
      <c r="NXP224" s="1"/>
      <c r="NXQ224" s="1"/>
      <c r="NXR224" s="1"/>
      <c r="NXS224" s="1"/>
      <c r="NXT224" s="1"/>
      <c r="NXU224" s="1"/>
      <c r="NXV224" s="1"/>
      <c r="NXW224" s="1"/>
      <c r="NXX224" s="1"/>
      <c r="NXY224" s="1"/>
      <c r="NXZ224" s="1"/>
      <c r="NYA224" s="1"/>
      <c r="NYB224" s="1"/>
      <c r="NYC224" s="1"/>
      <c r="NYD224" s="1"/>
      <c r="NYE224" s="1"/>
      <c r="NYF224" s="1"/>
      <c r="NYG224" s="1"/>
      <c r="NYH224" s="1"/>
      <c r="NYI224" s="1"/>
      <c r="NYJ224" s="1"/>
      <c r="NYK224" s="1"/>
      <c r="NYL224" s="1"/>
      <c r="NYM224" s="1"/>
      <c r="NYN224" s="1"/>
      <c r="NYO224" s="1"/>
      <c r="NYP224" s="1"/>
      <c r="NYQ224" s="1"/>
      <c r="NYR224" s="1"/>
      <c r="NYS224" s="1"/>
      <c r="NYT224" s="1"/>
      <c r="NYU224" s="1"/>
      <c r="NYV224" s="1"/>
      <c r="NYW224" s="1"/>
      <c r="NYX224" s="1"/>
      <c r="NYY224" s="1"/>
      <c r="NYZ224" s="1"/>
      <c r="NZA224" s="1"/>
      <c r="NZB224" s="1"/>
      <c r="NZC224" s="1"/>
      <c r="NZD224" s="1"/>
      <c r="NZE224" s="1"/>
      <c r="NZF224" s="1"/>
      <c r="NZG224" s="1"/>
      <c r="NZH224" s="1"/>
      <c r="NZI224" s="1"/>
      <c r="NZJ224" s="1"/>
      <c r="NZK224" s="1"/>
      <c r="NZL224" s="1"/>
      <c r="NZM224" s="1"/>
      <c r="NZN224" s="1"/>
      <c r="NZO224" s="1"/>
      <c r="NZP224" s="1"/>
      <c r="NZQ224" s="1"/>
      <c r="NZR224" s="1"/>
      <c r="NZS224" s="1"/>
      <c r="NZT224" s="1"/>
      <c r="NZU224" s="1"/>
      <c r="NZV224" s="1"/>
      <c r="NZW224" s="1"/>
      <c r="NZX224" s="1"/>
      <c r="NZY224" s="1"/>
      <c r="NZZ224" s="1"/>
      <c r="OAA224" s="1"/>
      <c r="OAB224" s="1"/>
      <c r="OAC224" s="1"/>
      <c r="OAD224" s="1"/>
      <c r="OAE224" s="1"/>
      <c r="OAF224" s="1"/>
      <c r="OAG224" s="1"/>
      <c r="OAH224" s="1"/>
      <c r="OAI224" s="1"/>
      <c r="OAJ224" s="1"/>
      <c r="OAK224" s="1"/>
      <c r="OAL224" s="1"/>
      <c r="OAM224" s="1"/>
      <c r="OAN224" s="1"/>
      <c r="OAO224" s="1"/>
      <c r="OAP224" s="1"/>
      <c r="OAQ224" s="1"/>
      <c r="OAR224" s="1"/>
      <c r="OAS224" s="1"/>
      <c r="OAT224" s="1"/>
      <c r="OAU224" s="1"/>
      <c r="OAV224" s="1"/>
      <c r="OAW224" s="1"/>
      <c r="OAX224" s="1"/>
      <c r="OAY224" s="1"/>
      <c r="OAZ224" s="1"/>
      <c r="OBA224" s="1"/>
      <c r="OBB224" s="1"/>
      <c r="OBC224" s="1"/>
      <c r="OBD224" s="1"/>
      <c r="OBE224" s="1"/>
      <c r="OBF224" s="1"/>
      <c r="OBG224" s="1"/>
      <c r="OBH224" s="1"/>
      <c r="OBI224" s="1"/>
      <c r="OBJ224" s="1"/>
      <c r="OBK224" s="1"/>
      <c r="OBL224" s="1"/>
      <c r="OBM224" s="1"/>
      <c r="OBN224" s="1"/>
      <c r="OBO224" s="1"/>
      <c r="OBP224" s="1"/>
      <c r="OBQ224" s="1"/>
      <c r="OBR224" s="1"/>
      <c r="OBS224" s="1"/>
      <c r="OBT224" s="1"/>
      <c r="OBU224" s="1"/>
      <c r="OBV224" s="1"/>
      <c r="OBW224" s="1"/>
      <c r="OBX224" s="1"/>
      <c r="OBY224" s="1"/>
      <c r="OBZ224" s="1"/>
      <c r="OCA224" s="1"/>
      <c r="OCB224" s="1"/>
      <c r="OCC224" s="1"/>
      <c r="OCD224" s="1"/>
      <c r="OCE224" s="1"/>
      <c r="OCF224" s="1"/>
      <c r="OCG224" s="1"/>
      <c r="OCH224" s="1"/>
      <c r="OCI224" s="1"/>
      <c r="OCJ224" s="1"/>
      <c r="OCK224" s="1"/>
      <c r="OCL224" s="1"/>
      <c r="OCM224" s="1"/>
      <c r="OCN224" s="1"/>
      <c r="OCO224" s="1"/>
      <c r="OCP224" s="1"/>
      <c r="OCQ224" s="1"/>
      <c r="OCR224" s="1"/>
      <c r="OCS224" s="1"/>
      <c r="OCT224" s="1"/>
      <c r="OCU224" s="1"/>
      <c r="OCV224" s="1"/>
      <c r="OCW224" s="1"/>
      <c r="OCX224" s="1"/>
      <c r="OCY224" s="1"/>
      <c r="OCZ224" s="1"/>
      <c r="ODA224" s="1"/>
      <c r="ODB224" s="1"/>
      <c r="ODC224" s="1"/>
      <c r="ODD224" s="1"/>
      <c r="ODE224" s="1"/>
      <c r="ODF224" s="1"/>
      <c r="ODG224" s="1"/>
      <c r="ODH224" s="1"/>
      <c r="ODI224" s="1"/>
      <c r="ODJ224" s="1"/>
      <c r="ODK224" s="1"/>
      <c r="ODL224" s="1"/>
      <c r="ODM224" s="1"/>
      <c r="ODN224" s="1"/>
      <c r="ODO224" s="1"/>
      <c r="ODP224" s="1"/>
      <c r="ODQ224" s="1"/>
      <c r="ODR224" s="1"/>
      <c r="ODS224" s="1"/>
      <c r="ODT224" s="1"/>
      <c r="ODU224" s="1"/>
      <c r="ODV224" s="1"/>
      <c r="ODW224" s="1"/>
      <c r="ODX224" s="1"/>
      <c r="ODY224" s="1"/>
      <c r="ODZ224" s="1"/>
      <c r="OEA224" s="1"/>
      <c r="OEB224" s="1"/>
      <c r="OEC224" s="1"/>
      <c r="OED224" s="1"/>
      <c r="OEE224" s="1"/>
      <c r="OEF224" s="1"/>
      <c r="OEG224" s="1"/>
      <c r="OEH224" s="1"/>
      <c r="OEI224" s="1"/>
      <c r="OEJ224" s="1"/>
      <c r="OEK224" s="1"/>
      <c r="OEL224" s="1"/>
      <c r="OEM224" s="1"/>
      <c r="OEN224" s="1"/>
      <c r="OEO224" s="1"/>
      <c r="OEP224" s="1"/>
      <c r="OEQ224" s="1"/>
      <c r="OER224" s="1"/>
      <c r="OES224" s="1"/>
      <c r="OET224" s="1"/>
      <c r="OEU224" s="1"/>
      <c r="OEV224" s="1"/>
      <c r="OEW224" s="1"/>
      <c r="OEX224" s="1"/>
      <c r="OEY224" s="1"/>
      <c r="OEZ224" s="1"/>
      <c r="OFA224" s="1"/>
      <c r="OFB224" s="1"/>
      <c r="OFC224" s="1"/>
      <c r="OFD224" s="1"/>
      <c r="OFE224" s="1"/>
      <c r="OFF224" s="1"/>
      <c r="OFG224" s="1"/>
      <c r="OFH224" s="1"/>
      <c r="OFI224" s="1"/>
      <c r="OFJ224" s="1"/>
      <c r="OFK224" s="1"/>
      <c r="OFL224" s="1"/>
      <c r="OFM224" s="1"/>
      <c r="OFN224" s="1"/>
      <c r="OFO224" s="1"/>
      <c r="OFP224" s="1"/>
      <c r="OFQ224" s="1"/>
      <c r="OFR224" s="1"/>
      <c r="OFS224" s="1"/>
      <c r="OFT224" s="1"/>
      <c r="OFU224" s="1"/>
      <c r="OFV224" s="1"/>
      <c r="OFW224" s="1"/>
      <c r="OFX224" s="1"/>
      <c r="OFY224" s="1"/>
      <c r="OFZ224" s="1"/>
      <c r="OGA224" s="1"/>
      <c r="OGB224" s="1"/>
      <c r="OGC224" s="1"/>
      <c r="OGD224" s="1"/>
      <c r="OGE224" s="1"/>
      <c r="OGF224" s="1"/>
      <c r="OGG224" s="1"/>
      <c r="OGH224" s="1"/>
      <c r="OGI224" s="1"/>
      <c r="OGJ224" s="1"/>
      <c r="OGK224" s="1"/>
      <c r="OGL224" s="1"/>
      <c r="OGM224" s="1"/>
      <c r="OGN224" s="1"/>
      <c r="OGO224" s="1"/>
      <c r="OGP224" s="1"/>
      <c r="OGQ224" s="1"/>
      <c r="OGR224" s="1"/>
      <c r="OGS224" s="1"/>
      <c r="OGT224" s="1"/>
      <c r="OGU224" s="1"/>
      <c r="OGV224" s="1"/>
      <c r="OGW224" s="1"/>
      <c r="OGX224" s="1"/>
      <c r="OGY224" s="1"/>
      <c r="OGZ224" s="1"/>
      <c r="OHA224" s="1"/>
      <c r="OHB224" s="1"/>
      <c r="OHC224" s="1"/>
      <c r="OHD224" s="1"/>
      <c r="OHE224" s="1"/>
      <c r="OHF224" s="1"/>
      <c r="OHG224" s="1"/>
      <c r="OHH224" s="1"/>
      <c r="OHI224" s="1"/>
      <c r="OHJ224" s="1"/>
      <c r="OHK224" s="1"/>
      <c r="OHL224" s="1"/>
      <c r="OHM224" s="1"/>
      <c r="OHN224" s="1"/>
      <c r="OHO224" s="1"/>
      <c r="OHP224" s="1"/>
      <c r="OHQ224" s="1"/>
      <c r="OHR224" s="1"/>
      <c r="OHS224" s="1"/>
      <c r="OHT224" s="1"/>
      <c r="OHU224" s="1"/>
      <c r="OHV224" s="1"/>
      <c r="OHW224" s="1"/>
      <c r="OHX224" s="1"/>
      <c r="OHY224" s="1"/>
      <c r="OHZ224" s="1"/>
      <c r="OIA224" s="1"/>
      <c r="OIB224" s="1"/>
      <c r="OIC224" s="1"/>
      <c r="OID224" s="1"/>
      <c r="OIE224" s="1"/>
      <c r="OIF224" s="1"/>
      <c r="OIG224" s="1"/>
      <c r="OIH224" s="1"/>
      <c r="OII224" s="1"/>
      <c r="OIJ224" s="1"/>
      <c r="OIK224" s="1"/>
      <c r="OIL224" s="1"/>
      <c r="OIM224" s="1"/>
      <c r="OIN224" s="1"/>
      <c r="OIO224" s="1"/>
      <c r="OIP224" s="1"/>
      <c r="OIQ224" s="1"/>
      <c r="OIR224" s="1"/>
      <c r="OIS224" s="1"/>
      <c r="OIT224" s="1"/>
      <c r="OIU224" s="1"/>
      <c r="OIV224" s="1"/>
      <c r="OIW224" s="1"/>
      <c r="OIX224" s="1"/>
      <c r="OIY224" s="1"/>
      <c r="OIZ224" s="1"/>
      <c r="OJA224" s="1"/>
      <c r="OJB224" s="1"/>
      <c r="OJC224" s="1"/>
      <c r="OJD224" s="1"/>
      <c r="OJE224" s="1"/>
      <c r="OJF224" s="1"/>
      <c r="OJG224" s="1"/>
      <c r="OJH224" s="1"/>
      <c r="OJI224" s="1"/>
      <c r="OJJ224" s="1"/>
      <c r="OJK224" s="1"/>
      <c r="OJL224" s="1"/>
      <c r="OJM224" s="1"/>
      <c r="OJN224" s="1"/>
      <c r="OJO224" s="1"/>
      <c r="OJP224" s="1"/>
      <c r="OJQ224" s="1"/>
      <c r="OJR224" s="1"/>
      <c r="OJS224" s="1"/>
      <c r="OJT224" s="1"/>
      <c r="OJU224" s="1"/>
      <c r="OJV224" s="1"/>
      <c r="OJW224" s="1"/>
      <c r="OJX224" s="1"/>
      <c r="OJY224" s="1"/>
      <c r="OJZ224" s="1"/>
      <c r="OKA224" s="1"/>
      <c r="OKB224" s="1"/>
      <c r="OKC224" s="1"/>
      <c r="OKD224" s="1"/>
      <c r="OKE224" s="1"/>
      <c r="OKF224" s="1"/>
      <c r="OKG224" s="1"/>
      <c r="OKH224" s="1"/>
      <c r="OKI224" s="1"/>
      <c r="OKJ224" s="1"/>
      <c r="OKK224" s="1"/>
      <c r="OKL224" s="1"/>
      <c r="OKM224" s="1"/>
      <c r="OKN224" s="1"/>
      <c r="OKO224" s="1"/>
      <c r="OKP224" s="1"/>
      <c r="OKQ224" s="1"/>
      <c r="OKR224" s="1"/>
      <c r="OKS224" s="1"/>
      <c r="OKT224" s="1"/>
      <c r="OKU224" s="1"/>
      <c r="OKV224" s="1"/>
      <c r="OKW224" s="1"/>
      <c r="OKX224" s="1"/>
      <c r="OKY224" s="1"/>
      <c r="OKZ224" s="1"/>
      <c r="OLA224" s="1"/>
      <c r="OLB224" s="1"/>
      <c r="OLC224" s="1"/>
      <c r="OLD224" s="1"/>
      <c r="OLE224" s="1"/>
      <c r="OLF224" s="1"/>
      <c r="OLG224" s="1"/>
      <c r="OLH224" s="1"/>
      <c r="OLI224" s="1"/>
      <c r="OLJ224" s="1"/>
      <c r="OLK224" s="1"/>
      <c r="OLL224" s="1"/>
      <c r="OLM224" s="1"/>
      <c r="OLN224" s="1"/>
      <c r="OLO224" s="1"/>
      <c r="OLP224" s="1"/>
      <c r="OLQ224" s="1"/>
      <c r="OLR224" s="1"/>
      <c r="OLS224" s="1"/>
      <c r="OLT224" s="1"/>
      <c r="OLU224" s="1"/>
      <c r="OLV224" s="1"/>
      <c r="OLW224" s="1"/>
      <c r="OLX224" s="1"/>
      <c r="OLY224" s="1"/>
      <c r="OLZ224" s="1"/>
      <c r="OMA224" s="1"/>
      <c r="OMB224" s="1"/>
      <c r="OMC224" s="1"/>
      <c r="OMD224" s="1"/>
      <c r="OME224" s="1"/>
      <c r="OMF224" s="1"/>
      <c r="OMG224" s="1"/>
      <c r="OMH224" s="1"/>
      <c r="OMI224" s="1"/>
      <c r="OMJ224" s="1"/>
      <c r="OMK224" s="1"/>
      <c r="OML224" s="1"/>
      <c r="OMM224" s="1"/>
      <c r="OMN224" s="1"/>
      <c r="OMO224" s="1"/>
      <c r="OMP224" s="1"/>
      <c r="OMQ224" s="1"/>
      <c r="OMR224" s="1"/>
      <c r="OMS224" s="1"/>
      <c r="OMT224" s="1"/>
      <c r="OMU224" s="1"/>
      <c r="OMV224" s="1"/>
      <c r="OMW224" s="1"/>
      <c r="OMX224" s="1"/>
      <c r="OMY224" s="1"/>
      <c r="OMZ224" s="1"/>
      <c r="ONA224" s="1"/>
      <c r="ONB224" s="1"/>
      <c r="ONC224" s="1"/>
      <c r="OND224" s="1"/>
      <c r="ONE224" s="1"/>
      <c r="ONF224" s="1"/>
      <c r="ONG224" s="1"/>
      <c r="ONH224" s="1"/>
      <c r="ONI224" s="1"/>
      <c r="ONJ224" s="1"/>
      <c r="ONK224" s="1"/>
      <c r="ONL224" s="1"/>
      <c r="ONM224" s="1"/>
      <c r="ONN224" s="1"/>
      <c r="ONO224" s="1"/>
      <c r="ONP224" s="1"/>
      <c r="ONQ224" s="1"/>
      <c r="ONR224" s="1"/>
      <c r="ONS224" s="1"/>
      <c r="ONT224" s="1"/>
      <c r="ONU224" s="1"/>
      <c r="ONV224" s="1"/>
      <c r="ONW224" s="1"/>
      <c r="ONX224" s="1"/>
      <c r="ONY224" s="1"/>
      <c r="ONZ224" s="1"/>
      <c r="OOA224" s="1"/>
      <c r="OOB224" s="1"/>
      <c r="OOC224" s="1"/>
      <c r="OOD224" s="1"/>
      <c r="OOE224" s="1"/>
      <c r="OOF224" s="1"/>
      <c r="OOG224" s="1"/>
      <c r="OOH224" s="1"/>
      <c r="OOI224" s="1"/>
      <c r="OOJ224" s="1"/>
      <c r="OOK224" s="1"/>
      <c r="OOL224" s="1"/>
      <c r="OOM224" s="1"/>
      <c r="OON224" s="1"/>
      <c r="OOO224" s="1"/>
      <c r="OOP224" s="1"/>
      <c r="OOQ224" s="1"/>
      <c r="OOR224" s="1"/>
      <c r="OOS224" s="1"/>
      <c r="OOT224" s="1"/>
      <c r="OOU224" s="1"/>
      <c r="OOV224" s="1"/>
      <c r="OOW224" s="1"/>
      <c r="OOX224" s="1"/>
      <c r="OOY224" s="1"/>
      <c r="OOZ224" s="1"/>
      <c r="OPA224" s="1"/>
      <c r="OPB224" s="1"/>
      <c r="OPC224" s="1"/>
      <c r="OPD224" s="1"/>
      <c r="OPE224" s="1"/>
      <c r="OPF224" s="1"/>
      <c r="OPG224" s="1"/>
      <c r="OPH224" s="1"/>
      <c r="OPI224" s="1"/>
      <c r="OPJ224" s="1"/>
      <c r="OPK224" s="1"/>
      <c r="OPL224" s="1"/>
      <c r="OPM224" s="1"/>
      <c r="OPN224" s="1"/>
      <c r="OPO224" s="1"/>
      <c r="OPP224" s="1"/>
      <c r="OPQ224" s="1"/>
      <c r="OPR224" s="1"/>
      <c r="OPS224" s="1"/>
      <c r="OPT224" s="1"/>
      <c r="OPU224" s="1"/>
      <c r="OPV224" s="1"/>
      <c r="OPW224" s="1"/>
      <c r="OPX224" s="1"/>
      <c r="OPY224" s="1"/>
      <c r="OPZ224" s="1"/>
      <c r="OQA224" s="1"/>
      <c r="OQB224" s="1"/>
      <c r="OQC224" s="1"/>
      <c r="OQD224" s="1"/>
      <c r="OQE224" s="1"/>
      <c r="OQF224" s="1"/>
      <c r="OQG224" s="1"/>
      <c r="OQH224" s="1"/>
      <c r="OQI224" s="1"/>
      <c r="OQJ224" s="1"/>
      <c r="OQK224" s="1"/>
      <c r="OQL224" s="1"/>
      <c r="OQM224" s="1"/>
      <c r="OQN224" s="1"/>
      <c r="OQO224" s="1"/>
      <c r="OQP224" s="1"/>
      <c r="OQQ224" s="1"/>
      <c r="OQR224" s="1"/>
      <c r="OQS224" s="1"/>
      <c r="OQT224" s="1"/>
      <c r="OQU224" s="1"/>
      <c r="OQV224" s="1"/>
      <c r="OQW224" s="1"/>
      <c r="OQX224" s="1"/>
      <c r="OQY224" s="1"/>
      <c r="OQZ224" s="1"/>
      <c r="ORA224" s="1"/>
      <c r="ORB224" s="1"/>
      <c r="ORC224" s="1"/>
      <c r="ORD224" s="1"/>
      <c r="ORE224" s="1"/>
      <c r="ORF224" s="1"/>
      <c r="ORG224" s="1"/>
      <c r="ORH224" s="1"/>
      <c r="ORI224" s="1"/>
      <c r="ORJ224" s="1"/>
      <c r="ORK224" s="1"/>
      <c r="ORL224" s="1"/>
      <c r="ORM224" s="1"/>
      <c r="ORN224" s="1"/>
      <c r="ORO224" s="1"/>
      <c r="ORP224" s="1"/>
      <c r="ORQ224" s="1"/>
      <c r="ORR224" s="1"/>
      <c r="ORS224" s="1"/>
      <c r="ORT224" s="1"/>
      <c r="ORU224" s="1"/>
      <c r="ORV224" s="1"/>
      <c r="ORW224" s="1"/>
      <c r="ORX224" s="1"/>
      <c r="ORY224" s="1"/>
      <c r="ORZ224" s="1"/>
      <c r="OSA224" s="1"/>
      <c r="OSB224" s="1"/>
      <c r="OSC224" s="1"/>
      <c r="OSD224" s="1"/>
      <c r="OSE224" s="1"/>
      <c r="OSF224" s="1"/>
      <c r="OSG224" s="1"/>
      <c r="OSH224" s="1"/>
      <c r="OSI224" s="1"/>
      <c r="OSJ224" s="1"/>
      <c r="OSK224" s="1"/>
      <c r="OSL224" s="1"/>
      <c r="OSM224" s="1"/>
      <c r="OSN224" s="1"/>
      <c r="OSO224" s="1"/>
      <c r="OSP224" s="1"/>
      <c r="OSQ224" s="1"/>
      <c r="OSR224" s="1"/>
      <c r="OSS224" s="1"/>
      <c r="OST224" s="1"/>
      <c r="OSU224" s="1"/>
      <c r="OSV224" s="1"/>
      <c r="OSW224" s="1"/>
      <c r="OSX224" s="1"/>
      <c r="OSY224" s="1"/>
      <c r="OSZ224" s="1"/>
      <c r="OTA224" s="1"/>
      <c r="OTB224" s="1"/>
      <c r="OTC224" s="1"/>
      <c r="OTD224" s="1"/>
      <c r="OTE224" s="1"/>
      <c r="OTF224" s="1"/>
      <c r="OTG224" s="1"/>
      <c r="OTH224" s="1"/>
      <c r="OTI224" s="1"/>
      <c r="OTJ224" s="1"/>
      <c r="OTK224" s="1"/>
      <c r="OTL224" s="1"/>
      <c r="OTM224" s="1"/>
      <c r="OTN224" s="1"/>
      <c r="OTO224" s="1"/>
      <c r="OTP224" s="1"/>
      <c r="OTQ224" s="1"/>
      <c r="OTR224" s="1"/>
      <c r="OTS224" s="1"/>
      <c r="OTT224" s="1"/>
      <c r="OTU224" s="1"/>
      <c r="OTV224" s="1"/>
      <c r="OTW224" s="1"/>
      <c r="OTX224" s="1"/>
      <c r="OTY224" s="1"/>
      <c r="OTZ224" s="1"/>
      <c r="OUA224" s="1"/>
      <c r="OUB224" s="1"/>
      <c r="OUC224" s="1"/>
      <c r="OUD224" s="1"/>
      <c r="OUE224" s="1"/>
      <c r="OUF224" s="1"/>
      <c r="OUG224" s="1"/>
      <c r="OUH224" s="1"/>
      <c r="OUI224" s="1"/>
      <c r="OUJ224" s="1"/>
      <c r="OUK224" s="1"/>
      <c r="OUL224" s="1"/>
      <c r="OUM224" s="1"/>
      <c r="OUN224" s="1"/>
      <c r="OUO224" s="1"/>
      <c r="OUP224" s="1"/>
      <c r="OUQ224" s="1"/>
      <c r="OUR224" s="1"/>
      <c r="OUS224" s="1"/>
      <c r="OUT224" s="1"/>
      <c r="OUU224" s="1"/>
      <c r="OUV224" s="1"/>
      <c r="OUW224" s="1"/>
      <c r="OUX224" s="1"/>
      <c r="OUY224" s="1"/>
      <c r="OUZ224" s="1"/>
      <c r="OVA224" s="1"/>
      <c r="OVB224" s="1"/>
      <c r="OVC224" s="1"/>
      <c r="OVD224" s="1"/>
      <c r="OVE224" s="1"/>
      <c r="OVF224" s="1"/>
      <c r="OVG224" s="1"/>
      <c r="OVH224" s="1"/>
      <c r="OVI224" s="1"/>
      <c r="OVJ224" s="1"/>
      <c r="OVK224" s="1"/>
      <c r="OVL224" s="1"/>
      <c r="OVM224" s="1"/>
      <c r="OVN224" s="1"/>
      <c r="OVO224" s="1"/>
      <c r="OVP224" s="1"/>
      <c r="OVQ224" s="1"/>
      <c r="OVR224" s="1"/>
      <c r="OVS224" s="1"/>
      <c r="OVT224" s="1"/>
      <c r="OVU224" s="1"/>
      <c r="OVV224" s="1"/>
      <c r="OVW224" s="1"/>
      <c r="OVX224" s="1"/>
      <c r="OVY224" s="1"/>
      <c r="OVZ224" s="1"/>
      <c r="OWA224" s="1"/>
      <c r="OWB224" s="1"/>
      <c r="OWC224" s="1"/>
      <c r="OWD224" s="1"/>
      <c r="OWE224" s="1"/>
      <c r="OWF224" s="1"/>
      <c r="OWG224" s="1"/>
      <c r="OWH224" s="1"/>
      <c r="OWI224" s="1"/>
      <c r="OWJ224" s="1"/>
      <c r="OWK224" s="1"/>
      <c r="OWL224" s="1"/>
      <c r="OWM224" s="1"/>
      <c r="OWN224" s="1"/>
      <c r="OWO224" s="1"/>
      <c r="OWP224" s="1"/>
      <c r="OWQ224" s="1"/>
      <c r="OWR224" s="1"/>
      <c r="OWS224" s="1"/>
      <c r="OWT224" s="1"/>
      <c r="OWU224" s="1"/>
      <c r="OWV224" s="1"/>
      <c r="OWW224" s="1"/>
      <c r="OWX224" s="1"/>
      <c r="OWY224" s="1"/>
      <c r="OWZ224" s="1"/>
      <c r="OXA224" s="1"/>
      <c r="OXB224" s="1"/>
      <c r="OXC224" s="1"/>
      <c r="OXD224" s="1"/>
      <c r="OXE224" s="1"/>
      <c r="OXF224" s="1"/>
      <c r="OXG224" s="1"/>
      <c r="OXH224" s="1"/>
      <c r="OXI224" s="1"/>
      <c r="OXJ224" s="1"/>
      <c r="OXK224" s="1"/>
      <c r="OXL224" s="1"/>
      <c r="OXM224" s="1"/>
      <c r="OXN224" s="1"/>
      <c r="OXO224" s="1"/>
      <c r="OXP224" s="1"/>
      <c r="OXQ224" s="1"/>
      <c r="OXR224" s="1"/>
      <c r="OXS224" s="1"/>
      <c r="OXT224" s="1"/>
      <c r="OXU224" s="1"/>
      <c r="OXV224" s="1"/>
      <c r="OXW224" s="1"/>
      <c r="OXX224" s="1"/>
      <c r="OXY224" s="1"/>
      <c r="OXZ224" s="1"/>
      <c r="OYA224" s="1"/>
      <c r="OYB224" s="1"/>
      <c r="OYC224" s="1"/>
      <c r="OYD224" s="1"/>
      <c r="OYE224" s="1"/>
      <c r="OYF224" s="1"/>
      <c r="OYG224" s="1"/>
      <c r="OYH224" s="1"/>
      <c r="OYI224" s="1"/>
      <c r="OYJ224" s="1"/>
      <c r="OYK224" s="1"/>
      <c r="OYL224" s="1"/>
      <c r="OYM224" s="1"/>
      <c r="OYN224" s="1"/>
      <c r="OYO224" s="1"/>
      <c r="OYP224" s="1"/>
      <c r="OYQ224" s="1"/>
      <c r="OYR224" s="1"/>
      <c r="OYS224" s="1"/>
      <c r="OYT224" s="1"/>
      <c r="OYU224" s="1"/>
      <c r="OYV224" s="1"/>
      <c r="OYW224" s="1"/>
      <c r="OYX224" s="1"/>
      <c r="OYY224" s="1"/>
      <c r="OYZ224" s="1"/>
      <c r="OZA224" s="1"/>
      <c r="OZB224" s="1"/>
      <c r="OZC224" s="1"/>
      <c r="OZD224" s="1"/>
      <c r="OZE224" s="1"/>
      <c r="OZF224" s="1"/>
      <c r="OZG224" s="1"/>
      <c r="OZH224" s="1"/>
      <c r="OZI224" s="1"/>
      <c r="OZJ224" s="1"/>
      <c r="OZK224" s="1"/>
      <c r="OZL224" s="1"/>
      <c r="OZM224" s="1"/>
      <c r="OZN224" s="1"/>
      <c r="OZO224" s="1"/>
      <c r="OZP224" s="1"/>
      <c r="OZQ224" s="1"/>
      <c r="OZR224" s="1"/>
      <c r="OZS224" s="1"/>
      <c r="OZT224" s="1"/>
      <c r="OZU224" s="1"/>
      <c r="OZV224" s="1"/>
      <c r="OZW224" s="1"/>
      <c r="OZX224" s="1"/>
      <c r="OZY224" s="1"/>
      <c r="OZZ224" s="1"/>
      <c r="PAA224" s="1"/>
      <c r="PAB224" s="1"/>
      <c r="PAC224" s="1"/>
      <c r="PAD224" s="1"/>
      <c r="PAE224" s="1"/>
      <c r="PAF224" s="1"/>
      <c r="PAG224" s="1"/>
      <c r="PAH224" s="1"/>
      <c r="PAI224" s="1"/>
      <c r="PAJ224" s="1"/>
      <c r="PAK224" s="1"/>
      <c r="PAL224" s="1"/>
      <c r="PAM224" s="1"/>
      <c r="PAN224" s="1"/>
      <c r="PAO224" s="1"/>
      <c r="PAP224" s="1"/>
      <c r="PAQ224" s="1"/>
      <c r="PAR224" s="1"/>
      <c r="PAS224" s="1"/>
      <c r="PAT224" s="1"/>
      <c r="PAU224" s="1"/>
      <c r="PAV224" s="1"/>
      <c r="PAW224" s="1"/>
      <c r="PAX224" s="1"/>
      <c r="PAY224" s="1"/>
      <c r="PAZ224" s="1"/>
      <c r="PBA224" s="1"/>
      <c r="PBB224" s="1"/>
      <c r="PBC224" s="1"/>
      <c r="PBD224" s="1"/>
      <c r="PBE224" s="1"/>
      <c r="PBF224" s="1"/>
      <c r="PBG224" s="1"/>
      <c r="PBH224" s="1"/>
      <c r="PBI224" s="1"/>
      <c r="PBJ224" s="1"/>
      <c r="PBK224" s="1"/>
      <c r="PBL224" s="1"/>
      <c r="PBM224" s="1"/>
      <c r="PBN224" s="1"/>
      <c r="PBO224" s="1"/>
      <c r="PBP224" s="1"/>
      <c r="PBQ224" s="1"/>
      <c r="PBR224" s="1"/>
      <c r="PBS224" s="1"/>
      <c r="PBT224" s="1"/>
      <c r="PBU224" s="1"/>
      <c r="PBV224" s="1"/>
      <c r="PBW224" s="1"/>
      <c r="PBX224" s="1"/>
      <c r="PBY224" s="1"/>
      <c r="PBZ224" s="1"/>
      <c r="PCA224" s="1"/>
      <c r="PCB224" s="1"/>
      <c r="PCC224" s="1"/>
      <c r="PCD224" s="1"/>
      <c r="PCE224" s="1"/>
      <c r="PCF224" s="1"/>
      <c r="PCG224" s="1"/>
      <c r="PCH224" s="1"/>
      <c r="PCI224" s="1"/>
      <c r="PCJ224" s="1"/>
      <c r="PCK224" s="1"/>
      <c r="PCL224" s="1"/>
      <c r="PCM224" s="1"/>
      <c r="PCN224" s="1"/>
      <c r="PCO224" s="1"/>
      <c r="PCP224" s="1"/>
      <c r="PCQ224" s="1"/>
      <c r="PCR224" s="1"/>
      <c r="PCS224" s="1"/>
      <c r="PCT224" s="1"/>
      <c r="PCU224" s="1"/>
      <c r="PCV224" s="1"/>
      <c r="PCW224" s="1"/>
      <c r="PCX224" s="1"/>
      <c r="PCY224" s="1"/>
      <c r="PCZ224" s="1"/>
      <c r="PDA224" s="1"/>
      <c r="PDB224" s="1"/>
      <c r="PDC224" s="1"/>
      <c r="PDD224" s="1"/>
      <c r="PDE224" s="1"/>
      <c r="PDF224" s="1"/>
      <c r="PDG224" s="1"/>
      <c r="PDH224" s="1"/>
      <c r="PDI224" s="1"/>
      <c r="PDJ224" s="1"/>
      <c r="PDK224" s="1"/>
      <c r="PDL224" s="1"/>
      <c r="PDM224" s="1"/>
      <c r="PDN224" s="1"/>
      <c r="PDO224" s="1"/>
      <c r="PDP224" s="1"/>
      <c r="PDQ224" s="1"/>
      <c r="PDR224" s="1"/>
      <c r="PDS224" s="1"/>
      <c r="PDT224" s="1"/>
      <c r="PDU224" s="1"/>
      <c r="PDV224" s="1"/>
      <c r="PDW224" s="1"/>
      <c r="PDX224" s="1"/>
      <c r="PDY224" s="1"/>
      <c r="PDZ224" s="1"/>
      <c r="PEA224" s="1"/>
      <c r="PEB224" s="1"/>
      <c r="PEC224" s="1"/>
      <c r="PED224" s="1"/>
      <c r="PEE224" s="1"/>
      <c r="PEF224" s="1"/>
      <c r="PEG224" s="1"/>
      <c r="PEH224" s="1"/>
      <c r="PEI224" s="1"/>
      <c r="PEJ224" s="1"/>
      <c r="PEK224" s="1"/>
      <c r="PEL224" s="1"/>
      <c r="PEM224" s="1"/>
      <c r="PEN224" s="1"/>
      <c r="PEO224" s="1"/>
      <c r="PEP224" s="1"/>
      <c r="PEQ224" s="1"/>
      <c r="PER224" s="1"/>
      <c r="PES224" s="1"/>
      <c r="PET224" s="1"/>
      <c r="PEU224" s="1"/>
      <c r="PEV224" s="1"/>
      <c r="PEW224" s="1"/>
      <c r="PEX224" s="1"/>
      <c r="PEY224" s="1"/>
      <c r="PEZ224" s="1"/>
      <c r="PFA224" s="1"/>
      <c r="PFB224" s="1"/>
      <c r="PFC224" s="1"/>
      <c r="PFD224" s="1"/>
      <c r="PFE224" s="1"/>
      <c r="PFF224" s="1"/>
      <c r="PFG224" s="1"/>
      <c r="PFH224" s="1"/>
      <c r="PFI224" s="1"/>
      <c r="PFJ224" s="1"/>
      <c r="PFK224" s="1"/>
      <c r="PFL224" s="1"/>
      <c r="PFM224" s="1"/>
      <c r="PFN224" s="1"/>
      <c r="PFO224" s="1"/>
      <c r="PFP224" s="1"/>
      <c r="PFQ224" s="1"/>
      <c r="PFR224" s="1"/>
      <c r="PFS224" s="1"/>
      <c r="PFT224" s="1"/>
      <c r="PFU224" s="1"/>
      <c r="PFV224" s="1"/>
      <c r="PFW224" s="1"/>
      <c r="PFX224" s="1"/>
      <c r="PFY224" s="1"/>
      <c r="PFZ224" s="1"/>
      <c r="PGA224" s="1"/>
      <c r="PGB224" s="1"/>
      <c r="PGC224" s="1"/>
      <c r="PGD224" s="1"/>
      <c r="PGE224" s="1"/>
      <c r="PGF224" s="1"/>
      <c r="PGG224" s="1"/>
      <c r="PGH224" s="1"/>
      <c r="PGI224" s="1"/>
      <c r="PGJ224" s="1"/>
      <c r="PGK224" s="1"/>
      <c r="PGL224" s="1"/>
      <c r="PGM224" s="1"/>
      <c r="PGN224" s="1"/>
      <c r="PGO224" s="1"/>
      <c r="PGP224" s="1"/>
      <c r="PGQ224" s="1"/>
      <c r="PGR224" s="1"/>
      <c r="PGS224" s="1"/>
      <c r="PGT224" s="1"/>
      <c r="PGU224" s="1"/>
      <c r="PGV224" s="1"/>
      <c r="PGW224" s="1"/>
      <c r="PGX224" s="1"/>
      <c r="PGY224" s="1"/>
      <c r="PGZ224" s="1"/>
      <c r="PHA224" s="1"/>
      <c r="PHB224" s="1"/>
      <c r="PHC224" s="1"/>
      <c r="PHD224" s="1"/>
      <c r="PHE224" s="1"/>
      <c r="PHF224" s="1"/>
      <c r="PHG224" s="1"/>
      <c r="PHH224" s="1"/>
      <c r="PHI224" s="1"/>
      <c r="PHJ224" s="1"/>
      <c r="PHK224" s="1"/>
      <c r="PHL224" s="1"/>
      <c r="PHM224" s="1"/>
      <c r="PHN224" s="1"/>
      <c r="PHO224" s="1"/>
      <c r="PHP224" s="1"/>
      <c r="PHQ224" s="1"/>
      <c r="PHR224" s="1"/>
      <c r="PHS224" s="1"/>
      <c r="PHT224" s="1"/>
      <c r="PHU224" s="1"/>
      <c r="PHV224" s="1"/>
      <c r="PHW224" s="1"/>
      <c r="PHX224" s="1"/>
      <c r="PHY224" s="1"/>
      <c r="PHZ224" s="1"/>
      <c r="PIA224" s="1"/>
      <c r="PIB224" s="1"/>
      <c r="PIC224" s="1"/>
      <c r="PID224" s="1"/>
      <c r="PIE224" s="1"/>
      <c r="PIF224" s="1"/>
      <c r="PIG224" s="1"/>
      <c r="PIH224" s="1"/>
      <c r="PII224" s="1"/>
      <c r="PIJ224" s="1"/>
      <c r="PIK224" s="1"/>
      <c r="PIL224" s="1"/>
      <c r="PIM224" s="1"/>
      <c r="PIN224" s="1"/>
      <c r="PIO224" s="1"/>
      <c r="PIP224" s="1"/>
      <c r="PIQ224" s="1"/>
      <c r="PIR224" s="1"/>
      <c r="PIS224" s="1"/>
      <c r="PIT224" s="1"/>
      <c r="PIU224" s="1"/>
      <c r="PIV224" s="1"/>
      <c r="PIW224" s="1"/>
      <c r="PIX224" s="1"/>
      <c r="PIY224" s="1"/>
      <c r="PIZ224" s="1"/>
      <c r="PJA224" s="1"/>
      <c r="PJB224" s="1"/>
      <c r="PJC224" s="1"/>
      <c r="PJD224" s="1"/>
      <c r="PJE224" s="1"/>
      <c r="PJF224" s="1"/>
      <c r="PJG224" s="1"/>
      <c r="PJH224" s="1"/>
      <c r="PJI224" s="1"/>
      <c r="PJJ224" s="1"/>
      <c r="PJK224" s="1"/>
      <c r="PJL224" s="1"/>
      <c r="PJM224" s="1"/>
      <c r="PJN224" s="1"/>
      <c r="PJO224" s="1"/>
      <c r="PJP224" s="1"/>
      <c r="PJQ224" s="1"/>
      <c r="PJR224" s="1"/>
      <c r="PJS224" s="1"/>
      <c r="PJT224" s="1"/>
      <c r="PJU224" s="1"/>
      <c r="PJV224" s="1"/>
      <c r="PJW224" s="1"/>
      <c r="PJX224" s="1"/>
      <c r="PJY224" s="1"/>
      <c r="PJZ224" s="1"/>
      <c r="PKA224" s="1"/>
      <c r="PKB224" s="1"/>
      <c r="PKC224" s="1"/>
      <c r="PKD224" s="1"/>
      <c r="PKE224" s="1"/>
      <c r="PKF224" s="1"/>
      <c r="PKG224" s="1"/>
      <c r="PKH224" s="1"/>
      <c r="PKI224" s="1"/>
      <c r="PKJ224" s="1"/>
      <c r="PKK224" s="1"/>
      <c r="PKL224" s="1"/>
      <c r="PKM224" s="1"/>
      <c r="PKN224" s="1"/>
      <c r="PKO224" s="1"/>
      <c r="PKP224" s="1"/>
      <c r="PKQ224" s="1"/>
      <c r="PKR224" s="1"/>
      <c r="PKS224" s="1"/>
      <c r="PKT224" s="1"/>
      <c r="PKU224" s="1"/>
      <c r="PKV224" s="1"/>
      <c r="PKW224" s="1"/>
      <c r="PKX224" s="1"/>
      <c r="PKY224" s="1"/>
      <c r="PKZ224" s="1"/>
      <c r="PLA224" s="1"/>
      <c r="PLB224" s="1"/>
      <c r="PLC224" s="1"/>
      <c r="PLD224" s="1"/>
      <c r="PLE224" s="1"/>
      <c r="PLF224" s="1"/>
      <c r="PLG224" s="1"/>
      <c r="PLH224" s="1"/>
      <c r="PLI224" s="1"/>
      <c r="PLJ224" s="1"/>
      <c r="PLK224" s="1"/>
      <c r="PLL224" s="1"/>
      <c r="PLM224" s="1"/>
      <c r="PLN224" s="1"/>
      <c r="PLO224" s="1"/>
      <c r="PLP224" s="1"/>
      <c r="PLQ224" s="1"/>
      <c r="PLR224" s="1"/>
      <c r="PLS224" s="1"/>
      <c r="PLT224" s="1"/>
      <c r="PLU224" s="1"/>
      <c r="PLV224" s="1"/>
      <c r="PLW224" s="1"/>
      <c r="PLX224" s="1"/>
      <c r="PLY224" s="1"/>
      <c r="PLZ224" s="1"/>
      <c r="PMA224" s="1"/>
      <c r="PMB224" s="1"/>
      <c r="PMC224" s="1"/>
      <c r="PMD224" s="1"/>
      <c r="PME224" s="1"/>
      <c r="PMF224" s="1"/>
      <c r="PMG224" s="1"/>
      <c r="PMH224" s="1"/>
      <c r="PMI224" s="1"/>
      <c r="PMJ224" s="1"/>
      <c r="PMK224" s="1"/>
      <c r="PML224" s="1"/>
      <c r="PMM224" s="1"/>
      <c r="PMN224" s="1"/>
      <c r="PMO224" s="1"/>
      <c r="PMP224" s="1"/>
      <c r="PMQ224" s="1"/>
      <c r="PMR224" s="1"/>
      <c r="PMS224" s="1"/>
      <c r="PMT224" s="1"/>
      <c r="PMU224" s="1"/>
      <c r="PMV224" s="1"/>
      <c r="PMW224" s="1"/>
      <c r="PMX224" s="1"/>
      <c r="PMY224" s="1"/>
      <c r="PMZ224" s="1"/>
      <c r="PNA224" s="1"/>
      <c r="PNB224" s="1"/>
      <c r="PNC224" s="1"/>
      <c r="PND224" s="1"/>
      <c r="PNE224" s="1"/>
      <c r="PNF224" s="1"/>
      <c r="PNG224" s="1"/>
      <c r="PNH224" s="1"/>
      <c r="PNI224" s="1"/>
      <c r="PNJ224" s="1"/>
      <c r="PNK224" s="1"/>
      <c r="PNL224" s="1"/>
      <c r="PNM224" s="1"/>
      <c r="PNN224" s="1"/>
      <c r="PNO224" s="1"/>
      <c r="PNP224" s="1"/>
      <c r="PNQ224" s="1"/>
      <c r="PNR224" s="1"/>
      <c r="PNS224" s="1"/>
      <c r="PNT224" s="1"/>
      <c r="PNU224" s="1"/>
      <c r="PNV224" s="1"/>
      <c r="PNW224" s="1"/>
      <c r="PNX224" s="1"/>
      <c r="PNY224" s="1"/>
      <c r="PNZ224" s="1"/>
      <c r="POA224" s="1"/>
      <c r="POB224" s="1"/>
      <c r="POC224" s="1"/>
      <c r="POD224" s="1"/>
      <c r="POE224" s="1"/>
      <c r="POF224" s="1"/>
      <c r="POG224" s="1"/>
      <c r="POH224" s="1"/>
      <c r="POI224" s="1"/>
      <c r="POJ224" s="1"/>
      <c r="POK224" s="1"/>
      <c r="POL224" s="1"/>
      <c r="POM224" s="1"/>
      <c r="PON224" s="1"/>
      <c r="POO224" s="1"/>
      <c r="POP224" s="1"/>
      <c r="POQ224" s="1"/>
      <c r="POR224" s="1"/>
      <c r="POS224" s="1"/>
      <c r="POT224" s="1"/>
      <c r="POU224" s="1"/>
      <c r="POV224" s="1"/>
      <c r="POW224" s="1"/>
      <c r="POX224" s="1"/>
      <c r="POY224" s="1"/>
      <c r="POZ224" s="1"/>
      <c r="PPA224" s="1"/>
      <c r="PPB224" s="1"/>
      <c r="PPC224" s="1"/>
      <c r="PPD224" s="1"/>
      <c r="PPE224" s="1"/>
      <c r="PPF224" s="1"/>
      <c r="PPG224" s="1"/>
      <c r="PPH224" s="1"/>
      <c r="PPI224" s="1"/>
      <c r="PPJ224" s="1"/>
      <c r="PPK224" s="1"/>
      <c r="PPL224" s="1"/>
      <c r="PPM224" s="1"/>
      <c r="PPN224" s="1"/>
      <c r="PPO224" s="1"/>
      <c r="PPP224" s="1"/>
      <c r="PPQ224" s="1"/>
      <c r="PPR224" s="1"/>
      <c r="PPS224" s="1"/>
      <c r="PPT224" s="1"/>
      <c r="PPU224" s="1"/>
      <c r="PPV224" s="1"/>
      <c r="PPW224" s="1"/>
      <c r="PPX224" s="1"/>
      <c r="PPY224" s="1"/>
      <c r="PPZ224" s="1"/>
      <c r="PQA224" s="1"/>
      <c r="PQB224" s="1"/>
      <c r="PQC224" s="1"/>
      <c r="PQD224" s="1"/>
      <c r="PQE224" s="1"/>
      <c r="PQF224" s="1"/>
      <c r="PQG224" s="1"/>
      <c r="PQH224" s="1"/>
      <c r="PQI224" s="1"/>
      <c r="PQJ224" s="1"/>
      <c r="PQK224" s="1"/>
      <c r="PQL224" s="1"/>
      <c r="PQM224" s="1"/>
      <c r="PQN224" s="1"/>
      <c r="PQO224" s="1"/>
      <c r="PQP224" s="1"/>
      <c r="PQQ224" s="1"/>
      <c r="PQR224" s="1"/>
      <c r="PQS224" s="1"/>
      <c r="PQT224" s="1"/>
      <c r="PQU224" s="1"/>
      <c r="PQV224" s="1"/>
      <c r="PQW224" s="1"/>
      <c r="PQX224" s="1"/>
      <c r="PQY224" s="1"/>
      <c r="PQZ224" s="1"/>
      <c r="PRA224" s="1"/>
      <c r="PRB224" s="1"/>
      <c r="PRC224" s="1"/>
      <c r="PRD224" s="1"/>
      <c r="PRE224" s="1"/>
      <c r="PRF224" s="1"/>
      <c r="PRG224" s="1"/>
      <c r="PRH224" s="1"/>
      <c r="PRI224" s="1"/>
      <c r="PRJ224" s="1"/>
      <c r="PRK224" s="1"/>
      <c r="PRL224" s="1"/>
      <c r="PRM224" s="1"/>
      <c r="PRN224" s="1"/>
      <c r="PRO224" s="1"/>
      <c r="PRP224" s="1"/>
      <c r="PRQ224" s="1"/>
      <c r="PRR224" s="1"/>
      <c r="PRS224" s="1"/>
      <c r="PRT224" s="1"/>
      <c r="PRU224" s="1"/>
      <c r="PRV224" s="1"/>
      <c r="PRW224" s="1"/>
      <c r="PRX224" s="1"/>
      <c r="PRY224" s="1"/>
      <c r="PRZ224" s="1"/>
      <c r="PSA224" s="1"/>
      <c r="PSB224" s="1"/>
      <c r="PSC224" s="1"/>
      <c r="PSD224" s="1"/>
      <c r="PSE224" s="1"/>
      <c r="PSF224" s="1"/>
      <c r="PSG224" s="1"/>
      <c r="PSH224" s="1"/>
      <c r="PSI224" s="1"/>
      <c r="PSJ224" s="1"/>
      <c r="PSK224" s="1"/>
      <c r="PSL224" s="1"/>
      <c r="PSM224" s="1"/>
      <c r="PSN224" s="1"/>
      <c r="PSO224" s="1"/>
      <c r="PSP224" s="1"/>
      <c r="PSQ224" s="1"/>
      <c r="PSR224" s="1"/>
      <c r="PSS224" s="1"/>
      <c r="PST224" s="1"/>
      <c r="PSU224" s="1"/>
      <c r="PSV224" s="1"/>
      <c r="PSW224" s="1"/>
      <c r="PSX224" s="1"/>
      <c r="PSY224" s="1"/>
      <c r="PSZ224" s="1"/>
      <c r="PTA224" s="1"/>
      <c r="PTB224" s="1"/>
      <c r="PTC224" s="1"/>
      <c r="PTD224" s="1"/>
      <c r="PTE224" s="1"/>
      <c r="PTF224" s="1"/>
      <c r="PTG224" s="1"/>
      <c r="PTH224" s="1"/>
      <c r="PTI224" s="1"/>
      <c r="PTJ224" s="1"/>
      <c r="PTK224" s="1"/>
      <c r="PTL224" s="1"/>
      <c r="PTM224" s="1"/>
      <c r="PTN224" s="1"/>
      <c r="PTO224" s="1"/>
      <c r="PTP224" s="1"/>
      <c r="PTQ224" s="1"/>
      <c r="PTR224" s="1"/>
      <c r="PTS224" s="1"/>
      <c r="PTT224" s="1"/>
      <c r="PTU224" s="1"/>
      <c r="PTV224" s="1"/>
      <c r="PTW224" s="1"/>
      <c r="PTX224" s="1"/>
      <c r="PTY224" s="1"/>
      <c r="PTZ224" s="1"/>
      <c r="PUA224" s="1"/>
      <c r="PUB224" s="1"/>
      <c r="PUC224" s="1"/>
      <c r="PUD224" s="1"/>
      <c r="PUE224" s="1"/>
      <c r="PUF224" s="1"/>
      <c r="PUG224" s="1"/>
      <c r="PUH224" s="1"/>
      <c r="PUI224" s="1"/>
      <c r="PUJ224" s="1"/>
      <c r="PUK224" s="1"/>
      <c r="PUL224" s="1"/>
      <c r="PUM224" s="1"/>
      <c r="PUN224" s="1"/>
      <c r="PUO224" s="1"/>
      <c r="PUP224" s="1"/>
      <c r="PUQ224" s="1"/>
      <c r="PUR224" s="1"/>
      <c r="PUS224" s="1"/>
      <c r="PUT224" s="1"/>
      <c r="PUU224" s="1"/>
      <c r="PUV224" s="1"/>
      <c r="PUW224" s="1"/>
      <c r="PUX224" s="1"/>
      <c r="PUY224" s="1"/>
      <c r="PUZ224" s="1"/>
      <c r="PVA224" s="1"/>
      <c r="PVB224" s="1"/>
      <c r="PVC224" s="1"/>
      <c r="PVD224" s="1"/>
      <c r="PVE224" s="1"/>
      <c r="PVF224" s="1"/>
      <c r="PVG224" s="1"/>
      <c r="PVH224" s="1"/>
      <c r="PVI224" s="1"/>
      <c r="PVJ224" s="1"/>
      <c r="PVK224" s="1"/>
      <c r="PVL224" s="1"/>
      <c r="PVM224" s="1"/>
      <c r="PVN224" s="1"/>
      <c r="PVO224" s="1"/>
      <c r="PVP224" s="1"/>
      <c r="PVQ224" s="1"/>
      <c r="PVR224" s="1"/>
      <c r="PVS224" s="1"/>
      <c r="PVT224" s="1"/>
      <c r="PVU224" s="1"/>
      <c r="PVV224" s="1"/>
      <c r="PVW224" s="1"/>
      <c r="PVX224" s="1"/>
      <c r="PVY224" s="1"/>
      <c r="PVZ224" s="1"/>
      <c r="PWA224" s="1"/>
      <c r="PWB224" s="1"/>
      <c r="PWC224" s="1"/>
      <c r="PWD224" s="1"/>
      <c r="PWE224" s="1"/>
      <c r="PWF224" s="1"/>
      <c r="PWG224" s="1"/>
      <c r="PWH224" s="1"/>
      <c r="PWI224" s="1"/>
      <c r="PWJ224" s="1"/>
      <c r="PWK224" s="1"/>
      <c r="PWL224" s="1"/>
      <c r="PWM224" s="1"/>
      <c r="PWN224" s="1"/>
      <c r="PWO224" s="1"/>
      <c r="PWP224" s="1"/>
      <c r="PWQ224" s="1"/>
      <c r="PWR224" s="1"/>
      <c r="PWS224" s="1"/>
      <c r="PWT224" s="1"/>
      <c r="PWU224" s="1"/>
      <c r="PWV224" s="1"/>
      <c r="PWW224" s="1"/>
      <c r="PWX224" s="1"/>
      <c r="PWY224" s="1"/>
      <c r="PWZ224" s="1"/>
      <c r="PXA224" s="1"/>
      <c r="PXB224" s="1"/>
      <c r="PXC224" s="1"/>
      <c r="PXD224" s="1"/>
      <c r="PXE224" s="1"/>
      <c r="PXF224" s="1"/>
      <c r="PXG224" s="1"/>
      <c r="PXH224" s="1"/>
      <c r="PXI224" s="1"/>
      <c r="PXJ224" s="1"/>
      <c r="PXK224" s="1"/>
      <c r="PXL224" s="1"/>
      <c r="PXM224" s="1"/>
      <c r="PXN224" s="1"/>
      <c r="PXO224" s="1"/>
      <c r="PXP224" s="1"/>
      <c r="PXQ224" s="1"/>
      <c r="PXR224" s="1"/>
      <c r="PXS224" s="1"/>
      <c r="PXT224" s="1"/>
      <c r="PXU224" s="1"/>
      <c r="PXV224" s="1"/>
      <c r="PXW224" s="1"/>
      <c r="PXX224" s="1"/>
      <c r="PXY224" s="1"/>
      <c r="PXZ224" s="1"/>
      <c r="PYA224" s="1"/>
      <c r="PYB224" s="1"/>
      <c r="PYC224" s="1"/>
      <c r="PYD224" s="1"/>
      <c r="PYE224" s="1"/>
      <c r="PYF224" s="1"/>
      <c r="PYG224" s="1"/>
      <c r="PYH224" s="1"/>
      <c r="PYI224" s="1"/>
      <c r="PYJ224" s="1"/>
      <c r="PYK224" s="1"/>
      <c r="PYL224" s="1"/>
      <c r="PYM224" s="1"/>
      <c r="PYN224" s="1"/>
      <c r="PYO224" s="1"/>
      <c r="PYP224" s="1"/>
      <c r="PYQ224" s="1"/>
      <c r="PYR224" s="1"/>
      <c r="PYS224" s="1"/>
      <c r="PYT224" s="1"/>
      <c r="PYU224" s="1"/>
      <c r="PYV224" s="1"/>
      <c r="PYW224" s="1"/>
      <c r="PYX224" s="1"/>
      <c r="PYY224" s="1"/>
      <c r="PYZ224" s="1"/>
      <c r="PZA224" s="1"/>
      <c r="PZB224" s="1"/>
      <c r="PZC224" s="1"/>
      <c r="PZD224" s="1"/>
      <c r="PZE224" s="1"/>
      <c r="PZF224" s="1"/>
      <c r="PZG224" s="1"/>
      <c r="PZH224" s="1"/>
      <c r="PZI224" s="1"/>
      <c r="PZJ224" s="1"/>
      <c r="PZK224" s="1"/>
      <c r="PZL224" s="1"/>
      <c r="PZM224" s="1"/>
      <c r="PZN224" s="1"/>
      <c r="PZO224" s="1"/>
      <c r="PZP224" s="1"/>
      <c r="PZQ224" s="1"/>
      <c r="PZR224" s="1"/>
      <c r="PZS224" s="1"/>
      <c r="PZT224" s="1"/>
      <c r="PZU224" s="1"/>
      <c r="PZV224" s="1"/>
      <c r="PZW224" s="1"/>
      <c r="PZX224" s="1"/>
      <c r="PZY224" s="1"/>
      <c r="PZZ224" s="1"/>
      <c r="QAA224" s="1"/>
      <c r="QAB224" s="1"/>
      <c r="QAC224" s="1"/>
      <c r="QAD224" s="1"/>
      <c r="QAE224" s="1"/>
      <c r="QAF224" s="1"/>
      <c r="QAG224" s="1"/>
      <c r="QAH224" s="1"/>
      <c r="QAI224" s="1"/>
      <c r="QAJ224" s="1"/>
      <c r="QAK224" s="1"/>
      <c r="QAL224" s="1"/>
      <c r="QAM224" s="1"/>
      <c r="QAN224" s="1"/>
      <c r="QAO224" s="1"/>
      <c r="QAP224" s="1"/>
      <c r="QAQ224" s="1"/>
      <c r="QAR224" s="1"/>
      <c r="QAS224" s="1"/>
      <c r="QAT224" s="1"/>
      <c r="QAU224" s="1"/>
      <c r="QAV224" s="1"/>
      <c r="QAW224" s="1"/>
      <c r="QAX224" s="1"/>
      <c r="QAY224" s="1"/>
      <c r="QAZ224" s="1"/>
      <c r="QBA224" s="1"/>
      <c r="QBB224" s="1"/>
      <c r="QBC224" s="1"/>
      <c r="QBD224" s="1"/>
      <c r="QBE224" s="1"/>
      <c r="QBF224" s="1"/>
      <c r="QBG224" s="1"/>
      <c r="QBH224" s="1"/>
      <c r="QBI224" s="1"/>
      <c r="QBJ224" s="1"/>
      <c r="QBK224" s="1"/>
      <c r="QBL224" s="1"/>
      <c r="QBM224" s="1"/>
      <c r="QBN224" s="1"/>
      <c r="QBO224" s="1"/>
      <c r="QBP224" s="1"/>
      <c r="QBQ224" s="1"/>
      <c r="QBR224" s="1"/>
      <c r="QBS224" s="1"/>
      <c r="QBT224" s="1"/>
      <c r="QBU224" s="1"/>
      <c r="QBV224" s="1"/>
      <c r="QBW224" s="1"/>
      <c r="QBX224" s="1"/>
      <c r="QBY224" s="1"/>
      <c r="QBZ224" s="1"/>
      <c r="QCA224" s="1"/>
      <c r="QCB224" s="1"/>
      <c r="QCC224" s="1"/>
      <c r="QCD224" s="1"/>
      <c r="QCE224" s="1"/>
      <c r="QCF224" s="1"/>
      <c r="QCG224" s="1"/>
      <c r="QCH224" s="1"/>
      <c r="QCI224" s="1"/>
      <c r="QCJ224" s="1"/>
      <c r="QCK224" s="1"/>
      <c r="QCL224" s="1"/>
      <c r="QCM224" s="1"/>
      <c r="QCN224" s="1"/>
      <c r="QCO224" s="1"/>
      <c r="QCP224" s="1"/>
      <c r="QCQ224" s="1"/>
      <c r="QCR224" s="1"/>
      <c r="QCS224" s="1"/>
      <c r="QCT224" s="1"/>
      <c r="QCU224" s="1"/>
      <c r="QCV224" s="1"/>
      <c r="QCW224" s="1"/>
      <c r="QCX224" s="1"/>
      <c r="QCY224" s="1"/>
      <c r="QCZ224" s="1"/>
      <c r="QDA224" s="1"/>
      <c r="QDB224" s="1"/>
      <c r="QDC224" s="1"/>
      <c r="QDD224" s="1"/>
      <c r="QDE224" s="1"/>
      <c r="QDF224" s="1"/>
      <c r="QDG224" s="1"/>
      <c r="QDH224" s="1"/>
      <c r="QDI224" s="1"/>
      <c r="QDJ224" s="1"/>
      <c r="QDK224" s="1"/>
      <c r="QDL224" s="1"/>
      <c r="QDM224" s="1"/>
      <c r="QDN224" s="1"/>
      <c r="QDO224" s="1"/>
      <c r="QDP224" s="1"/>
      <c r="QDQ224" s="1"/>
      <c r="QDR224" s="1"/>
      <c r="QDS224" s="1"/>
      <c r="QDT224" s="1"/>
      <c r="QDU224" s="1"/>
      <c r="QDV224" s="1"/>
      <c r="QDW224" s="1"/>
      <c r="QDX224" s="1"/>
      <c r="QDY224" s="1"/>
      <c r="QDZ224" s="1"/>
      <c r="QEA224" s="1"/>
      <c r="QEB224" s="1"/>
      <c r="QEC224" s="1"/>
      <c r="QED224" s="1"/>
      <c r="QEE224" s="1"/>
      <c r="QEF224" s="1"/>
      <c r="QEG224" s="1"/>
      <c r="QEH224" s="1"/>
      <c r="QEI224" s="1"/>
      <c r="QEJ224" s="1"/>
      <c r="QEK224" s="1"/>
      <c r="QEL224" s="1"/>
      <c r="QEM224" s="1"/>
      <c r="QEN224" s="1"/>
      <c r="QEO224" s="1"/>
      <c r="QEP224" s="1"/>
      <c r="QEQ224" s="1"/>
      <c r="QER224" s="1"/>
      <c r="QES224" s="1"/>
      <c r="QET224" s="1"/>
      <c r="QEU224" s="1"/>
      <c r="QEV224" s="1"/>
      <c r="QEW224" s="1"/>
      <c r="QEX224" s="1"/>
      <c r="QEY224" s="1"/>
      <c r="QEZ224" s="1"/>
      <c r="QFA224" s="1"/>
      <c r="QFB224" s="1"/>
      <c r="QFC224" s="1"/>
      <c r="QFD224" s="1"/>
      <c r="QFE224" s="1"/>
      <c r="QFF224" s="1"/>
      <c r="QFG224" s="1"/>
      <c r="QFH224" s="1"/>
      <c r="QFI224" s="1"/>
      <c r="QFJ224" s="1"/>
      <c r="QFK224" s="1"/>
      <c r="QFL224" s="1"/>
      <c r="QFM224" s="1"/>
      <c r="QFN224" s="1"/>
      <c r="QFO224" s="1"/>
      <c r="QFP224" s="1"/>
      <c r="QFQ224" s="1"/>
      <c r="QFR224" s="1"/>
      <c r="QFS224" s="1"/>
      <c r="QFT224" s="1"/>
      <c r="QFU224" s="1"/>
      <c r="QFV224" s="1"/>
      <c r="QFW224" s="1"/>
      <c r="QFX224" s="1"/>
      <c r="QFY224" s="1"/>
      <c r="QFZ224" s="1"/>
      <c r="QGA224" s="1"/>
      <c r="QGB224" s="1"/>
      <c r="QGC224" s="1"/>
      <c r="QGD224" s="1"/>
      <c r="QGE224" s="1"/>
      <c r="QGF224" s="1"/>
      <c r="QGG224" s="1"/>
      <c r="QGH224" s="1"/>
      <c r="QGI224" s="1"/>
      <c r="QGJ224" s="1"/>
      <c r="QGK224" s="1"/>
      <c r="QGL224" s="1"/>
      <c r="QGM224" s="1"/>
      <c r="QGN224" s="1"/>
      <c r="QGO224" s="1"/>
      <c r="QGP224" s="1"/>
      <c r="QGQ224" s="1"/>
      <c r="QGR224" s="1"/>
      <c r="QGS224" s="1"/>
      <c r="QGT224" s="1"/>
      <c r="QGU224" s="1"/>
      <c r="QGV224" s="1"/>
      <c r="QGW224" s="1"/>
      <c r="QGX224" s="1"/>
      <c r="QGY224" s="1"/>
      <c r="QGZ224" s="1"/>
      <c r="QHA224" s="1"/>
      <c r="QHB224" s="1"/>
      <c r="QHC224" s="1"/>
      <c r="QHD224" s="1"/>
      <c r="QHE224" s="1"/>
      <c r="QHF224" s="1"/>
      <c r="QHG224" s="1"/>
      <c r="QHH224" s="1"/>
      <c r="QHI224" s="1"/>
      <c r="QHJ224" s="1"/>
      <c r="QHK224" s="1"/>
      <c r="QHL224" s="1"/>
      <c r="QHM224" s="1"/>
      <c r="QHN224" s="1"/>
      <c r="QHO224" s="1"/>
      <c r="QHP224" s="1"/>
      <c r="QHQ224" s="1"/>
      <c r="QHR224" s="1"/>
      <c r="QHS224" s="1"/>
      <c r="QHT224" s="1"/>
      <c r="QHU224" s="1"/>
      <c r="QHV224" s="1"/>
      <c r="QHW224" s="1"/>
      <c r="QHX224" s="1"/>
      <c r="QHY224" s="1"/>
      <c r="QHZ224" s="1"/>
      <c r="QIA224" s="1"/>
      <c r="QIB224" s="1"/>
      <c r="QIC224" s="1"/>
      <c r="QID224" s="1"/>
      <c r="QIE224" s="1"/>
      <c r="QIF224" s="1"/>
      <c r="QIG224" s="1"/>
      <c r="QIH224" s="1"/>
      <c r="QII224" s="1"/>
      <c r="QIJ224" s="1"/>
      <c r="QIK224" s="1"/>
      <c r="QIL224" s="1"/>
      <c r="QIM224" s="1"/>
      <c r="QIN224" s="1"/>
      <c r="QIO224" s="1"/>
      <c r="QIP224" s="1"/>
      <c r="QIQ224" s="1"/>
      <c r="QIR224" s="1"/>
      <c r="QIS224" s="1"/>
      <c r="QIT224" s="1"/>
      <c r="QIU224" s="1"/>
      <c r="QIV224" s="1"/>
      <c r="QIW224" s="1"/>
      <c r="QIX224" s="1"/>
      <c r="QIY224" s="1"/>
      <c r="QIZ224" s="1"/>
      <c r="QJA224" s="1"/>
      <c r="QJB224" s="1"/>
      <c r="QJC224" s="1"/>
      <c r="QJD224" s="1"/>
      <c r="QJE224" s="1"/>
      <c r="QJF224" s="1"/>
      <c r="QJG224" s="1"/>
      <c r="QJH224" s="1"/>
      <c r="QJI224" s="1"/>
      <c r="QJJ224" s="1"/>
      <c r="QJK224" s="1"/>
      <c r="QJL224" s="1"/>
      <c r="QJM224" s="1"/>
      <c r="QJN224" s="1"/>
      <c r="QJO224" s="1"/>
      <c r="QJP224" s="1"/>
      <c r="QJQ224" s="1"/>
      <c r="QJR224" s="1"/>
      <c r="QJS224" s="1"/>
      <c r="QJT224" s="1"/>
      <c r="QJU224" s="1"/>
      <c r="QJV224" s="1"/>
      <c r="QJW224" s="1"/>
      <c r="QJX224" s="1"/>
      <c r="QJY224" s="1"/>
      <c r="QJZ224" s="1"/>
      <c r="QKA224" s="1"/>
      <c r="QKB224" s="1"/>
      <c r="QKC224" s="1"/>
      <c r="QKD224" s="1"/>
      <c r="QKE224" s="1"/>
      <c r="QKF224" s="1"/>
      <c r="QKG224" s="1"/>
      <c r="QKH224" s="1"/>
      <c r="QKI224" s="1"/>
      <c r="QKJ224" s="1"/>
      <c r="QKK224" s="1"/>
      <c r="QKL224" s="1"/>
      <c r="QKM224" s="1"/>
      <c r="QKN224" s="1"/>
      <c r="QKO224" s="1"/>
      <c r="QKP224" s="1"/>
      <c r="QKQ224" s="1"/>
      <c r="QKR224" s="1"/>
      <c r="QKS224" s="1"/>
      <c r="QKT224" s="1"/>
      <c r="QKU224" s="1"/>
      <c r="QKV224" s="1"/>
      <c r="QKW224" s="1"/>
      <c r="QKX224" s="1"/>
      <c r="QKY224" s="1"/>
      <c r="QKZ224" s="1"/>
      <c r="QLA224" s="1"/>
      <c r="QLB224" s="1"/>
      <c r="QLC224" s="1"/>
      <c r="QLD224" s="1"/>
      <c r="QLE224" s="1"/>
      <c r="QLF224" s="1"/>
      <c r="QLG224" s="1"/>
      <c r="QLH224" s="1"/>
      <c r="QLI224" s="1"/>
      <c r="QLJ224" s="1"/>
      <c r="QLK224" s="1"/>
      <c r="QLL224" s="1"/>
      <c r="QLM224" s="1"/>
      <c r="QLN224" s="1"/>
      <c r="QLO224" s="1"/>
      <c r="QLP224" s="1"/>
      <c r="QLQ224" s="1"/>
      <c r="QLR224" s="1"/>
      <c r="QLS224" s="1"/>
      <c r="QLT224" s="1"/>
      <c r="QLU224" s="1"/>
      <c r="QLV224" s="1"/>
      <c r="QLW224" s="1"/>
      <c r="QLX224" s="1"/>
      <c r="QLY224" s="1"/>
      <c r="QLZ224" s="1"/>
      <c r="QMA224" s="1"/>
      <c r="QMB224" s="1"/>
      <c r="QMC224" s="1"/>
      <c r="QMD224" s="1"/>
      <c r="QME224" s="1"/>
      <c r="QMF224" s="1"/>
      <c r="QMG224" s="1"/>
      <c r="QMH224" s="1"/>
      <c r="QMI224" s="1"/>
      <c r="QMJ224" s="1"/>
      <c r="QMK224" s="1"/>
      <c r="QML224" s="1"/>
      <c r="QMM224" s="1"/>
      <c r="QMN224" s="1"/>
      <c r="QMO224" s="1"/>
      <c r="QMP224" s="1"/>
      <c r="QMQ224" s="1"/>
      <c r="QMR224" s="1"/>
      <c r="QMS224" s="1"/>
      <c r="QMT224" s="1"/>
      <c r="QMU224" s="1"/>
      <c r="QMV224" s="1"/>
      <c r="QMW224" s="1"/>
      <c r="QMX224" s="1"/>
      <c r="QMY224" s="1"/>
      <c r="QMZ224" s="1"/>
      <c r="QNA224" s="1"/>
      <c r="QNB224" s="1"/>
      <c r="QNC224" s="1"/>
      <c r="QND224" s="1"/>
      <c r="QNE224" s="1"/>
      <c r="QNF224" s="1"/>
      <c r="QNG224" s="1"/>
      <c r="QNH224" s="1"/>
      <c r="QNI224" s="1"/>
      <c r="QNJ224" s="1"/>
      <c r="QNK224" s="1"/>
      <c r="QNL224" s="1"/>
      <c r="QNM224" s="1"/>
      <c r="QNN224" s="1"/>
      <c r="QNO224" s="1"/>
      <c r="QNP224" s="1"/>
      <c r="QNQ224" s="1"/>
      <c r="QNR224" s="1"/>
      <c r="QNS224" s="1"/>
      <c r="QNT224" s="1"/>
      <c r="QNU224" s="1"/>
      <c r="QNV224" s="1"/>
      <c r="QNW224" s="1"/>
      <c r="QNX224" s="1"/>
      <c r="QNY224" s="1"/>
      <c r="QNZ224" s="1"/>
      <c r="QOA224" s="1"/>
      <c r="QOB224" s="1"/>
      <c r="QOC224" s="1"/>
      <c r="QOD224" s="1"/>
      <c r="QOE224" s="1"/>
      <c r="QOF224" s="1"/>
      <c r="QOG224" s="1"/>
      <c r="QOH224" s="1"/>
      <c r="QOI224" s="1"/>
      <c r="QOJ224" s="1"/>
      <c r="QOK224" s="1"/>
      <c r="QOL224" s="1"/>
      <c r="QOM224" s="1"/>
      <c r="QON224" s="1"/>
      <c r="QOO224" s="1"/>
      <c r="QOP224" s="1"/>
      <c r="QOQ224" s="1"/>
      <c r="QOR224" s="1"/>
      <c r="QOS224" s="1"/>
      <c r="QOT224" s="1"/>
      <c r="QOU224" s="1"/>
      <c r="QOV224" s="1"/>
      <c r="QOW224" s="1"/>
      <c r="QOX224" s="1"/>
      <c r="QOY224" s="1"/>
      <c r="QOZ224" s="1"/>
      <c r="QPA224" s="1"/>
      <c r="QPB224" s="1"/>
      <c r="QPC224" s="1"/>
      <c r="QPD224" s="1"/>
      <c r="QPE224" s="1"/>
      <c r="QPF224" s="1"/>
      <c r="QPG224" s="1"/>
      <c r="QPH224" s="1"/>
      <c r="QPI224" s="1"/>
      <c r="QPJ224" s="1"/>
      <c r="QPK224" s="1"/>
      <c r="QPL224" s="1"/>
      <c r="QPM224" s="1"/>
      <c r="QPN224" s="1"/>
      <c r="QPO224" s="1"/>
      <c r="QPP224" s="1"/>
      <c r="QPQ224" s="1"/>
      <c r="QPR224" s="1"/>
      <c r="QPS224" s="1"/>
      <c r="QPT224" s="1"/>
      <c r="QPU224" s="1"/>
      <c r="QPV224" s="1"/>
      <c r="QPW224" s="1"/>
      <c r="QPX224" s="1"/>
      <c r="QPY224" s="1"/>
      <c r="QPZ224" s="1"/>
      <c r="QQA224" s="1"/>
      <c r="QQB224" s="1"/>
      <c r="QQC224" s="1"/>
      <c r="QQD224" s="1"/>
      <c r="QQE224" s="1"/>
      <c r="QQF224" s="1"/>
      <c r="QQG224" s="1"/>
      <c r="QQH224" s="1"/>
      <c r="QQI224" s="1"/>
      <c r="QQJ224" s="1"/>
      <c r="QQK224" s="1"/>
      <c r="QQL224" s="1"/>
      <c r="QQM224" s="1"/>
      <c r="QQN224" s="1"/>
      <c r="QQO224" s="1"/>
      <c r="QQP224" s="1"/>
      <c r="QQQ224" s="1"/>
      <c r="QQR224" s="1"/>
      <c r="QQS224" s="1"/>
      <c r="QQT224" s="1"/>
      <c r="QQU224" s="1"/>
      <c r="QQV224" s="1"/>
      <c r="QQW224" s="1"/>
      <c r="QQX224" s="1"/>
      <c r="QQY224" s="1"/>
      <c r="QQZ224" s="1"/>
      <c r="QRA224" s="1"/>
      <c r="QRB224" s="1"/>
      <c r="QRC224" s="1"/>
      <c r="QRD224" s="1"/>
      <c r="QRE224" s="1"/>
      <c r="QRF224" s="1"/>
      <c r="QRG224" s="1"/>
      <c r="QRH224" s="1"/>
      <c r="QRI224" s="1"/>
      <c r="QRJ224" s="1"/>
      <c r="QRK224" s="1"/>
      <c r="QRL224" s="1"/>
      <c r="QRM224" s="1"/>
      <c r="QRN224" s="1"/>
      <c r="QRO224" s="1"/>
      <c r="QRP224" s="1"/>
      <c r="QRQ224" s="1"/>
      <c r="QRR224" s="1"/>
      <c r="QRS224" s="1"/>
      <c r="QRT224" s="1"/>
      <c r="QRU224" s="1"/>
      <c r="QRV224" s="1"/>
      <c r="QRW224" s="1"/>
      <c r="QRX224" s="1"/>
      <c r="QRY224" s="1"/>
      <c r="QRZ224" s="1"/>
      <c r="QSA224" s="1"/>
      <c r="QSB224" s="1"/>
      <c r="QSC224" s="1"/>
      <c r="QSD224" s="1"/>
      <c r="QSE224" s="1"/>
      <c r="QSF224" s="1"/>
      <c r="QSG224" s="1"/>
      <c r="QSH224" s="1"/>
      <c r="QSI224" s="1"/>
      <c r="QSJ224" s="1"/>
      <c r="QSK224" s="1"/>
      <c r="QSL224" s="1"/>
      <c r="QSM224" s="1"/>
      <c r="QSN224" s="1"/>
      <c r="QSO224" s="1"/>
      <c r="QSP224" s="1"/>
      <c r="QSQ224" s="1"/>
      <c r="QSR224" s="1"/>
      <c r="QSS224" s="1"/>
      <c r="QST224" s="1"/>
      <c r="QSU224" s="1"/>
      <c r="QSV224" s="1"/>
      <c r="QSW224" s="1"/>
      <c r="QSX224" s="1"/>
      <c r="QSY224" s="1"/>
      <c r="QSZ224" s="1"/>
      <c r="QTA224" s="1"/>
      <c r="QTB224" s="1"/>
      <c r="QTC224" s="1"/>
      <c r="QTD224" s="1"/>
      <c r="QTE224" s="1"/>
      <c r="QTF224" s="1"/>
      <c r="QTG224" s="1"/>
      <c r="QTH224" s="1"/>
      <c r="QTI224" s="1"/>
      <c r="QTJ224" s="1"/>
      <c r="QTK224" s="1"/>
      <c r="QTL224" s="1"/>
      <c r="QTM224" s="1"/>
      <c r="QTN224" s="1"/>
      <c r="QTO224" s="1"/>
      <c r="QTP224" s="1"/>
      <c r="QTQ224" s="1"/>
      <c r="QTR224" s="1"/>
      <c r="QTS224" s="1"/>
      <c r="QTT224" s="1"/>
      <c r="QTU224" s="1"/>
      <c r="QTV224" s="1"/>
      <c r="QTW224" s="1"/>
      <c r="QTX224" s="1"/>
      <c r="QTY224" s="1"/>
      <c r="QTZ224" s="1"/>
      <c r="QUA224" s="1"/>
      <c r="QUB224" s="1"/>
      <c r="QUC224" s="1"/>
      <c r="QUD224" s="1"/>
      <c r="QUE224" s="1"/>
      <c r="QUF224" s="1"/>
      <c r="QUG224" s="1"/>
      <c r="QUH224" s="1"/>
      <c r="QUI224" s="1"/>
      <c r="QUJ224" s="1"/>
      <c r="QUK224" s="1"/>
      <c r="QUL224" s="1"/>
      <c r="QUM224" s="1"/>
      <c r="QUN224" s="1"/>
      <c r="QUO224" s="1"/>
      <c r="QUP224" s="1"/>
      <c r="QUQ224" s="1"/>
      <c r="QUR224" s="1"/>
      <c r="QUS224" s="1"/>
      <c r="QUT224" s="1"/>
      <c r="QUU224" s="1"/>
      <c r="QUV224" s="1"/>
      <c r="QUW224" s="1"/>
      <c r="QUX224" s="1"/>
      <c r="QUY224" s="1"/>
      <c r="QUZ224" s="1"/>
      <c r="QVA224" s="1"/>
      <c r="QVB224" s="1"/>
      <c r="QVC224" s="1"/>
      <c r="QVD224" s="1"/>
      <c r="QVE224" s="1"/>
      <c r="QVF224" s="1"/>
      <c r="QVG224" s="1"/>
      <c r="QVH224" s="1"/>
      <c r="QVI224" s="1"/>
      <c r="QVJ224" s="1"/>
      <c r="QVK224" s="1"/>
      <c r="QVL224" s="1"/>
      <c r="QVM224" s="1"/>
      <c r="QVN224" s="1"/>
      <c r="QVO224" s="1"/>
      <c r="QVP224" s="1"/>
      <c r="QVQ224" s="1"/>
      <c r="QVR224" s="1"/>
      <c r="QVS224" s="1"/>
      <c r="QVT224" s="1"/>
      <c r="QVU224" s="1"/>
      <c r="QVV224" s="1"/>
      <c r="QVW224" s="1"/>
      <c r="QVX224" s="1"/>
      <c r="QVY224" s="1"/>
      <c r="QVZ224" s="1"/>
      <c r="QWA224" s="1"/>
      <c r="QWB224" s="1"/>
      <c r="QWC224" s="1"/>
      <c r="QWD224" s="1"/>
      <c r="QWE224" s="1"/>
      <c r="QWF224" s="1"/>
      <c r="QWG224" s="1"/>
      <c r="QWH224" s="1"/>
      <c r="QWI224" s="1"/>
      <c r="QWJ224" s="1"/>
      <c r="QWK224" s="1"/>
      <c r="QWL224" s="1"/>
      <c r="QWM224" s="1"/>
      <c r="QWN224" s="1"/>
      <c r="QWO224" s="1"/>
      <c r="QWP224" s="1"/>
      <c r="QWQ224" s="1"/>
      <c r="QWR224" s="1"/>
      <c r="QWS224" s="1"/>
      <c r="QWT224" s="1"/>
      <c r="QWU224" s="1"/>
      <c r="QWV224" s="1"/>
      <c r="QWW224" s="1"/>
      <c r="QWX224" s="1"/>
      <c r="QWY224" s="1"/>
      <c r="QWZ224" s="1"/>
      <c r="QXA224" s="1"/>
      <c r="QXB224" s="1"/>
      <c r="QXC224" s="1"/>
      <c r="QXD224" s="1"/>
      <c r="QXE224" s="1"/>
      <c r="QXF224" s="1"/>
      <c r="QXG224" s="1"/>
      <c r="QXH224" s="1"/>
      <c r="QXI224" s="1"/>
      <c r="QXJ224" s="1"/>
      <c r="QXK224" s="1"/>
      <c r="QXL224" s="1"/>
      <c r="QXM224" s="1"/>
      <c r="QXN224" s="1"/>
      <c r="QXO224" s="1"/>
      <c r="QXP224" s="1"/>
      <c r="QXQ224" s="1"/>
      <c r="QXR224" s="1"/>
      <c r="QXS224" s="1"/>
      <c r="QXT224" s="1"/>
      <c r="QXU224" s="1"/>
      <c r="QXV224" s="1"/>
      <c r="QXW224" s="1"/>
      <c r="QXX224" s="1"/>
      <c r="QXY224" s="1"/>
      <c r="QXZ224" s="1"/>
      <c r="QYA224" s="1"/>
      <c r="QYB224" s="1"/>
      <c r="QYC224" s="1"/>
      <c r="QYD224" s="1"/>
      <c r="QYE224" s="1"/>
      <c r="QYF224" s="1"/>
      <c r="QYG224" s="1"/>
      <c r="QYH224" s="1"/>
      <c r="QYI224" s="1"/>
      <c r="QYJ224" s="1"/>
      <c r="QYK224" s="1"/>
      <c r="QYL224" s="1"/>
      <c r="QYM224" s="1"/>
      <c r="QYN224" s="1"/>
      <c r="QYO224" s="1"/>
      <c r="QYP224" s="1"/>
      <c r="QYQ224" s="1"/>
      <c r="QYR224" s="1"/>
      <c r="QYS224" s="1"/>
      <c r="QYT224" s="1"/>
      <c r="QYU224" s="1"/>
      <c r="QYV224" s="1"/>
      <c r="QYW224" s="1"/>
      <c r="QYX224" s="1"/>
      <c r="QYY224" s="1"/>
      <c r="QYZ224" s="1"/>
      <c r="QZA224" s="1"/>
      <c r="QZB224" s="1"/>
      <c r="QZC224" s="1"/>
      <c r="QZD224" s="1"/>
      <c r="QZE224" s="1"/>
      <c r="QZF224" s="1"/>
      <c r="QZG224" s="1"/>
      <c r="QZH224" s="1"/>
      <c r="QZI224" s="1"/>
      <c r="QZJ224" s="1"/>
      <c r="QZK224" s="1"/>
      <c r="QZL224" s="1"/>
      <c r="QZM224" s="1"/>
      <c r="QZN224" s="1"/>
      <c r="QZO224" s="1"/>
      <c r="QZP224" s="1"/>
      <c r="QZQ224" s="1"/>
      <c r="QZR224" s="1"/>
      <c r="QZS224" s="1"/>
      <c r="QZT224" s="1"/>
      <c r="QZU224" s="1"/>
      <c r="QZV224" s="1"/>
      <c r="QZW224" s="1"/>
      <c r="QZX224" s="1"/>
      <c r="QZY224" s="1"/>
      <c r="QZZ224" s="1"/>
      <c r="RAA224" s="1"/>
      <c r="RAB224" s="1"/>
      <c r="RAC224" s="1"/>
      <c r="RAD224" s="1"/>
      <c r="RAE224" s="1"/>
      <c r="RAF224" s="1"/>
      <c r="RAG224" s="1"/>
      <c r="RAH224" s="1"/>
      <c r="RAI224" s="1"/>
      <c r="RAJ224" s="1"/>
      <c r="RAK224" s="1"/>
      <c r="RAL224" s="1"/>
      <c r="RAM224" s="1"/>
      <c r="RAN224" s="1"/>
      <c r="RAO224" s="1"/>
      <c r="RAP224" s="1"/>
      <c r="RAQ224" s="1"/>
      <c r="RAR224" s="1"/>
      <c r="RAS224" s="1"/>
      <c r="RAT224" s="1"/>
      <c r="RAU224" s="1"/>
      <c r="RAV224" s="1"/>
      <c r="RAW224" s="1"/>
      <c r="RAX224" s="1"/>
      <c r="RAY224" s="1"/>
      <c r="RAZ224" s="1"/>
      <c r="RBA224" s="1"/>
      <c r="RBB224" s="1"/>
      <c r="RBC224" s="1"/>
      <c r="RBD224" s="1"/>
      <c r="RBE224" s="1"/>
      <c r="RBF224" s="1"/>
      <c r="RBG224" s="1"/>
      <c r="RBH224" s="1"/>
      <c r="RBI224" s="1"/>
      <c r="RBJ224" s="1"/>
      <c r="RBK224" s="1"/>
      <c r="RBL224" s="1"/>
      <c r="RBM224" s="1"/>
      <c r="RBN224" s="1"/>
      <c r="RBO224" s="1"/>
      <c r="RBP224" s="1"/>
      <c r="RBQ224" s="1"/>
      <c r="RBR224" s="1"/>
      <c r="RBS224" s="1"/>
      <c r="RBT224" s="1"/>
      <c r="RBU224" s="1"/>
      <c r="RBV224" s="1"/>
      <c r="RBW224" s="1"/>
      <c r="RBX224" s="1"/>
      <c r="RBY224" s="1"/>
      <c r="RBZ224" s="1"/>
      <c r="RCA224" s="1"/>
      <c r="RCB224" s="1"/>
      <c r="RCC224" s="1"/>
      <c r="RCD224" s="1"/>
      <c r="RCE224" s="1"/>
      <c r="RCF224" s="1"/>
      <c r="RCG224" s="1"/>
      <c r="RCH224" s="1"/>
      <c r="RCI224" s="1"/>
      <c r="RCJ224" s="1"/>
      <c r="RCK224" s="1"/>
      <c r="RCL224" s="1"/>
      <c r="RCM224" s="1"/>
      <c r="RCN224" s="1"/>
      <c r="RCO224" s="1"/>
      <c r="RCP224" s="1"/>
      <c r="RCQ224" s="1"/>
      <c r="RCR224" s="1"/>
      <c r="RCS224" s="1"/>
      <c r="RCT224" s="1"/>
      <c r="RCU224" s="1"/>
      <c r="RCV224" s="1"/>
      <c r="RCW224" s="1"/>
      <c r="RCX224" s="1"/>
      <c r="RCY224" s="1"/>
      <c r="RCZ224" s="1"/>
      <c r="RDA224" s="1"/>
      <c r="RDB224" s="1"/>
      <c r="RDC224" s="1"/>
      <c r="RDD224" s="1"/>
      <c r="RDE224" s="1"/>
      <c r="RDF224" s="1"/>
      <c r="RDG224" s="1"/>
      <c r="RDH224" s="1"/>
      <c r="RDI224" s="1"/>
      <c r="RDJ224" s="1"/>
      <c r="RDK224" s="1"/>
      <c r="RDL224" s="1"/>
      <c r="RDM224" s="1"/>
      <c r="RDN224" s="1"/>
      <c r="RDO224" s="1"/>
      <c r="RDP224" s="1"/>
      <c r="RDQ224" s="1"/>
      <c r="RDR224" s="1"/>
      <c r="RDS224" s="1"/>
      <c r="RDT224" s="1"/>
      <c r="RDU224" s="1"/>
      <c r="RDV224" s="1"/>
      <c r="RDW224" s="1"/>
      <c r="RDX224" s="1"/>
      <c r="RDY224" s="1"/>
      <c r="RDZ224" s="1"/>
      <c r="REA224" s="1"/>
      <c r="REB224" s="1"/>
      <c r="REC224" s="1"/>
      <c r="RED224" s="1"/>
      <c r="REE224" s="1"/>
      <c r="REF224" s="1"/>
      <c r="REG224" s="1"/>
      <c r="REH224" s="1"/>
      <c r="REI224" s="1"/>
      <c r="REJ224" s="1"/>
      <c r="REK224" s="1"/>
      <c r="REL224" s="1"/>
      <c r="REM224" s="1"/>
      <c r="REN224" s="1"/>
      <c r="REO224" s="1"/>
      <c r="REP224" s="1"/>
      <c r="REQ224" s="1"/>
      <c r="RER224" s="1"/>
      <c r="RES224" s="1"/>
      <c r="RET224" s="1"/>
      <c r="REU224" s="1"/>
      <c r="REV224" s="1"/>
      <c r="REW224" s="1"/>
      <c r="REX224" s="1"/>
      <c r="REY224" s="1"/>
      <c r="REZ224" s="1"/>
      <c r="RFA224" s="1"/>
      <c r="RFB224" s="1"/>
      <c r="RFC224" s="1"/>
      <c r="RFD224" s="1"/>
      <c r="RFE224" s="1"/>
      <c r="RFF224" s="1"/>
      <c r="RFG224" s="1"/>
      <c r="RFH224" s="1"/>
      <c r="RFI224" s="1"/>
      <c r="RFJ224" s="1"/>
      <c r="RFK224" s="1"/>
      <c r="RFL224" s="1"/>
      <c r="RFM224" s="1"/>
      <c r="RFN224" s="1"/>
      <c r="RFO224" s="1"/>
      <c r="RFP224" s="1"/>
      <c r="RFQ224" s="1"/>
      <c r="RFR224" s="1"/>
      <c r="RFS224" s="1"/>
      <c r="RFT224" s="1"/>
      <c r="RFU224" s="1"/>
      <c r="RFV224" s="1"/>
      <c r="RFW224" s="1"/>
      <c r="RFX224" s="1"/>
      <c r="RFY224" s="1"/>
      <c r="RFZ224" s="1"/>
      <c r="RGA224" s="1"/>
      <c r="RGB224" s="1"/>
      <c r="RGC224" s="1"/>
      <c r="RGD224" s="1"/>
      <c r="RGE224" s="1"/>
      <c r="RGF224" s="1"/>
      <c r="RGG224" s="1"/>
      <c r="RGH224" s="1"/>
      <c r="RGI224" s="1"/>
      <c r="RGJ224" s="1"/>
      <c r="RGK224" s="1"/>
      <c r="RGL224" s="1"/>
      <c r="RGM224" s="1"/>
      <c r="RGN224" s="1"/>
      <c r="RGO224" s="1"/>
      <c r="RGP224" s="1"/>
      <c r="RGQ224" s="1"/>
      <c r="RGR224" s="1"/>
      <c r="RGS224" s="1"/>
      <c r="RGT224" s="1"/>
      <c r="RGU224" s="1"/>
      <c r="RGV224" s="1"/>
      <c r="RGW224" s="1"/>
      <c r="RGX224" s="1"/>
      <c r="RGY224" s="1"/>
      <c r="RGZ224" s="1"/>
      <c r="RHA224" s="1"/>
      <c r="RHB224" s="1"/>
      <c r="RHC224" s="1"/>
      <c r="RHD224" s="1"/>
      <c r="RHE224" s="1"/>
      <c r="RHF224" s="1"/>
      <c r="RHG224" s="1"/>
      <c r="RHH224" s="1"/>
      <c r="RHI224" s="1"/>
      <c r="RHJ224" s="1"/>
      <c r="RHK224" s="1"/>
      <c r="RHL224" s="1"/>
      <c r="RHM224" s="1"/>
      <c r="RHN224" s="1"/>
      <c r="RHO224" s="1"/>
      <c r="RHP224" s="1"/>
      <c r="RHQ224" s="1"/>
      <c r="RHR224" s="1"/>
      <c r="RHS224" s="1"/>
      <c r="RHT224" s="1"/>
      <c r="RHU224" s="1"/>
      <c r="RHV224" s="1"/>
      <c r="RHW224" s="1"/>
      <c r="RHX224" s="1"/>
      <c r="RHY224" s="1"/>
      <c r="RHZ224" s="1"/>
      <c r="RIA224" s="1"/>
      <c r="RIB224" s="1"/>
      <c r="RIC224" s="1"/>
      <c r="RID224" s="1"/>
      <c r="RIE224" s="1"/>
      <c r="RIF224" s="1"/>
      <c r="RIG224" s="1"/>
      <c r="RIH224" s="1"/>
      <c r="RII224" s="1"/>
      <c r="RIJ224" s="1"/>
      <c r="RIK224" s="1"/>
      <c r="RIL224" s="1"/>
      <c r="RIM224" s="1"/>
      <c r="RIN224" s="1"/>
      <c r="RIO224" s="1"/>
      <c r="RIP224" s="1"/>
      <c r="RIQ224" s="1"/>
      <c r="RIR224" s="1"/>
      <c r="RIS224" s="1"/>
      <c r="RIT224" s="1"/>
      <c r="RIU224" s="1"/>
      <c r="RIV224" s="1"/>
      <c r="RIW224" s="1"/>
      <c r="RIX224" s="1"/>
      <c r="RIY224" s="1"/>
      <c r="RIZ224" s="1"/>
      <c r="RJA224" s="1"/>
      <c r="RJB224" s="1"/>
      <c r="RJC224" s="1"/>
      <c r="RJD224" s="1"/>
      <c r="RJE224" s="1"/>
      <c r="RJF224" s="1"/>
      <c r="RJG224" s="1"/>
      <c r="RJH224" s="1"/>
      <c r="RJI224" s="1"/>
      <c r="RJJ224" s="1"/>
      <c r="RJK224" s="1"/>
      <c r="RJL224" s="1"/>
      <c r="RJM224" s="1"/>
      <c r="RJN224" s="1"/>
      <c r="RJO224" s="1"/>
      <c r="RJP224" s="1"/>
      <c r="RJQ224" s="1"/>
      <c r="RJR224" s="1"/>
      <c r="RJS224" s="1"/>
      <c r="RJT224" s="1"/>
      <c r="RJU224" s="1"/>
      <c r="RJV224" s="1"/>
      <c r="RJW224" s="1"/>
      <c r="RJX224" s="1"/>
      <c r="RJY224" s="1"/>
      <c r="RJZ224" s="1"/>
      <c r="RKA224" s="1"/>
      <c r="RKB224" s="1"/>
      <c r="RKC224" s="1"/>
      <c r="RKD224" s="1"/>
      <c r="RKE224" s="1"/>
      <c r="RKF224" s="1"/>
      <c r="RKG224" s="1"/>
      <c r="RKH224" s="1"/>
      <c r="RKI224" s="1"/>
      <c r="RKJ224" s="1"/>
      <c r="RKK224" s="1"/>
      <c r="RKL224" s="1"/>
      <c r="RKM224" s="1"/>
      <c r="RKN224" s="1"/>
      <c r="RKO224" s="1"/>
      <c r="RKP224" s="1"/>
      <c r="RKQ224" s="1"/>
      <c r="RKR224" s="1"/>
      <c r="RKS224" s="1"/>
      <c r="RKT224" s="1"/>
      <c r="RKU224" s="1"/>
      <c r="RKV224" s="1"/>
      <c r="RKW224" s="1"/>
      <c r="RKX224" s="1"/>
      <c r="RKY224" s="1"/>
      <c r="RKZ224" s="1"/>
      <c r="RLA224" s="1"/>
      <c r="RLB224" s="1"/>
      <c r="RLC224" s="1"/>
      <c r="RLD224" s="1"/>
      <c r="RLE224" s="1"/>
      <c r="RLF224" s="1"/>
      <c r="RLG224" s="1"/>
      <c r="RLH224" s="1"/>
      <c r="RLI224" s="1"/>
      <c r="RLJ224" s="1"/>
      <c r="RLK224" s="1"/>
      <c r="RLL224" s="1"/>
      <c r="RLM224" s="1"/>
      <c r="RLN224" s="1"/>
      <c r="RLO224" s="1"/>
      <c r="RLP224" s="1"/>
      <c r="RLQ224" s="1"/>
      <c r="RLR224" s="1"/>
      <c r="RLS224" s="1"/>
      <c r="RLT224" s="1"/>
      <c r="RLU224" s="1"/>
      <c r="RLV224" s="1"/>
      <c r="RLW224" s="1"/>
      <c r="RLX224" s="1"/>
      <c r="RLY224" s="1"/>
      <c r="RLZ224" s="1"/>
      <c r="RMA224" s="1"/>
      <c r="RMB224" s="1"/>
      <c r="RMC224" s="1"/>
      <c r="RMD224" s="1"/>
      <c r="RME224" s="1"/>
      <c r="RMF224" s="1"/>
      <c r="RMG224" s="1"/>
      <c r="RMH224" s="1"/>
      <c r="RMI224" s="1"/>
      <c r="RMJ224" s="1"/>
      <c r="RMK224" s="1"/>
      <c r="RML224" s="1"/>
      <c r="RMM224" s="1"/>
      <c r="RMN224" s="1"/>
      <c r="RMO224" s="1"/>
      <c r="RMP224" s="1"/>
      <c r="RMQ224" s="1"/>
      <c r="RMR224" s="1"/>
      <c r="RMS224" s="1"/>
      <c r="RMT224" s="1"/>
      <c r="RMU224" s="1"/>
      <c r="RMV224" s="1"/>
      <c r="RMW224" s="1"/>
      <c r="RMX224" s="1"/>
      <c r="RMY224" s="1"/>
      <c r="RMZ224" s="1"/>
      <c r="RNA224" s="1"/>
      <c r="RNB224" s="1"/>
      <c r="RNC224" s="1"/>
      <c r="RND224" s="1"/>
      <c r="RNE224" s="1"/>
      <c r="RNF224" s="1"/>
      <c r="RNG224" s="1"/>
      <c r="RNH224" s="1"/>
      <c r="RNI224" s="1"/>
      <c r="RNJ224" s="1"/>
      <c r="RNK224" s="1"/>
      <c r="RNL224" s="1"/>
      <c r="RNM224" s="1"/>
      <c r="RNN224" s="1"/>
      <c r="RNO224" s="1"/>
      <c r="RNP224" s="1"/>
      <c r="RNQ224" s="1"/>
      <c r="RNR224" s="1"/>
      <c r="RNS224" s="1"/>
      <c r="RNT224" s="1"/>
      <c r="RNU224" s="1"/>
      <c r="RNV224" s="1"/>
      <c r="RNW224" s="1"/>
      <c r="RNX224" s="1"/>
      <c r="RNY224" s="1"/>
      <c r="RNZ224" s="1"/>
      <c r="ROA224" s="1"/>
      <c r="ROB224" s="1"/>
      <c r="ROC224" s="1"/>
      <c r="ROD224" s="1"/>
      <c r="ROE224" s="1"/>
      <c r="ROF224" s="1"/>
      <c r="ROG224" s="1"/>
      <c r="ROH224" s="1"/>
      <c r="ROI224" s="1"/>
      <c r="ROJ224" s="1"/>
      <c r="ROK224" s="1"/>
      <c r="ROL224" s="1"/>
      <c r="ROM224" s="1"/>
      <c r="RON224" s="1"/>
      <c r="ROO224" s="1"/>
      <c r="ROP224" s="1"/>
      <c r="ROQ224" s="1"/>
      <c r="ROR224" s="1"/>
      <c r="ROS224" s="1"/>
      <c r="ROT224" s="1"/>
      <c r="ROU224" s="1"/>
      <c r="ROV224" s="1"/>
      <c r="ROW224" s="1"/>
      <c r="ROX224" s="1"/>
      <c r="ROY224" s="1"/>
      <c r="ROZ224" s="1"/>
      <c r="RPA224" s="1"/>
      <c r="RPB224" s="1"/>
      <c r="RPC224" s="1"/>
      <c r="RPD224" s="1"/>
      <c r="RPE224" s="1"/>
      <c r="RPF224" s="1"/>
      <c r="RPG224" s="1"/>
      <c r="RPH224" s="1"/>
      <c r="RPI224" s="1"/>
      <c r="RPJ224" s="1"/>
      <c r="RPK224" s="1"/>
      <c r="RPL224" s="1"/>
      <c r="RPM224" s="1"/>
      <c r="RPN224" s="1"/>
      <c r="RPO224" s="1"/>
      <c r="RPP224" s="1"/>
      <c r="RPQ224" s="1"/>
      <c r="RPR224" s="1"/>
      <c r="RPS224" s="1"/>
      <c r="RPT224" s="1"/>
      <c r="RPU224" s="1"/>
      <c r="RPV224" s="1"/>
      <c r="RPW224" s="1"/>
      <c r="RPX224" s="1"/>
      <c r="RPY224" s="1"/>
      <c r="RPZ224" s="1"/>
      <c r="RQA224" s="1"/>
      <c r="RQB224" s="1"/>
      <c r="RQC224" s="1"/>
      <c r="RQD224" s="1"/>
      <c r="RQE224" s="1"/>
      <c r="RQF224" s="1"/>
      <c r="RQG224" s="1"/>
      <c r="RQH224" s="1"/>
      <c r="RQI224" s="1"/>
      <c r="RQJ224" s="1"/>
      <c r="RQK224" s="1"/>
      <c r="RQL224" s="1"/>
      <c r="RQM224" s="1"/>
      <c r="RQN224" s="1"/>
      <c r="RQO224" s="1"/>
      <c r="RQP224" s="1"/>
      <c r="RQQ224" s="1"/>
      <c r="RQR224" s="1"/>
      <c r="RQS224" s="1"/>
      <c r="RQT224" s="1"/>
      <c r="RQU224" s="1"/>
      <c r="RQV224" s="1"/>
      <c r="RQW224" s="1"/>
      <c r="RQX224" s="1"/>
      <c r="RQY224" s="1"/>
      <c r="RQZ224" s="1"/>
      <c r="RRA224" s="1"/>
      <c r="RRB224" s="1"/>
      <c r="RRC224" s="1"/>
      <c r="RRD224" s="1"/>
      <c r="RRE224" s="1"/>
      <c r="RRF224" s="1"/>
      <c r="RRG224" s="1"/>
      <c r="RRH224" s="1"/>
      <c r="RRI224" s="1"/>
      <c r="RRJ224" s="1"/>
      <c r="RRK224" s="1"/>
      <c r="RRL224" s="1"/>
      <c r="RRM224" s="1"/>
      <c r="RRN224" s="1"/>
      <c r="RRO224" s="1"/>
      <c r="RRP224" s="1"/>
      <c r="RRQ224" s="1"/>
      <c r="RRR224" s="1"/>
      <c r="RRS224" s="1"/>
      <c r="RRT224" s="1"/>
      <c r="RRU224" s="1"/>
      <c r="RRV224" s="1"/>
      <c r="RRW224" s="1"/>
      <c r="RRX224" s="1"/>
      <c r="RRY224" s="1"/>
      <c r="RRZ224" s="1"/>
      <c r="RSA224" s="1"/>
      <c r="RSB224" s="1"/>
      <c r="RSC224" s="1"/>
      <c r="RSD224" s="1"/>
      <c r="RSE224" s="1"/>
      <c r="RSF224" s="1"/>
      <c r="RSG224" s="1"/>
      <c r="RSH224" s="1"/>
      <c r="RSI224" s="1"/>
      <c r="RSJ224" s="1"/>
      <c r="RSK224" s="1"/>
      <c r="RSL224" s="1"/>
      <c r="RSM224" s="1"/>
      <c r="RSN224" s="1"/>
      <c r="RSO224" s="1"/>
      <c r="RSP224" s="1"/>
      <c r="RSQ224" s="1"/>
      <c r="RSR224" s="1"/>
      <c r="RSS224" s="1"/>
      <c r="RST224" s="1"/>
      <c r="RSU224" s="1"/>
      <c r="RSV224" s="1"/>
      <c r="RSW224" s="1"/>
      <c r="RSX224" s="1"/>
      <c r="RSY224" s="1"/>
      <c r="RSZ224" s="1"/>
      <c r="RTA224" s="1"/>
      <c r="RTB224" s="1"/>
      <c r="RTC224" s="1"/>
      <c r="RTD224" s="1"/>
      <c r="RTE224" s="1"/>
      <c r="RTF224" s="1"/>
      <c r="RTG224" s="1"/>
      <c r="RTH224" s="1"/>
      <c r="RTI224" s="1"/>
      <c r="RTJ224" s="1"/>
      <c r="RTK224" s="1"/>
      <c r="RTL224" s="1"/>
      <c r="RTM224" s="1"/>
      <c r="RTN224" s="1"/>
      <c r="RTO224" s="1"/>
      <c r="RTP224" s="1"/>
      <c r="RTQ224" s="1"/>
      <c r="RTR224" s="1"/>
      <c r="RTS224" s="1"/>
      <c r="RTT224" s="1"/>
      <c r="RTU224" s="1"/>
      <c r="RTV224" s="1"/>
      <c r="RTW224" s="1"/>
      <c r="RTX224" s="1"/>
      <c r="RTY224" s="1"/>
      <c r="RTZ224" s="1"/>
      <c r="RUA224" s="1"/>
      <c r="RUB224" s="1"/>
      <c r="RUC224" s="1"/>
      <c r="RUD224" s="1"/>
      <c r="RUE224" s="1"/>
      <c r="RUF224" s="1"/>
      <c r="RUG224" s="1"/>
      <c r="RUH224" s="1"/>
      <c r="RUI224" s="1"/>
      <c r="RUJ224" s="1"/>
      <c r="RUK224" s="1"/>
      <c r="RUL224" s="1"/>
      <c r="RUM224" s="1"/>
      <c r="RUN224" s="1"/>
      <c r="RUO224" s="1"/>
      <c r="RUP224" s="1"/>
      <c r="RUQ224" s="1"/>
      <c r="RUR224" s="1"/>
      <c r="RUS224" s="1"/>
      <c r="RUT224" s="1"/>
      <c r="RUU224" s="1"/>
      <c r="RUV224" s="1"/>
      <c r="RUW224" s="1"/>
      <c r="RUX224" s="1"/>
      <c r="RUY224" s="1"/>
      <c r="RUZ224" s="1"/>
      <c r="RVA224" s="1"/>
      <c r="RVB224" s="1"/>
      <c r="RVC224" s="1"/>
      <c r="RVD224" s="1"/>
      <c r="RVE224" s="1"/>
      <c r="RVF224" s="1"/>
      <c r="RVG224" s="1"/>
      <c r="RVH224" s="1"/>
      <c r="RVI224" s="1"/>
      <c r="RVJ224" s="1"/>
      <c r="RVK224" s="1"/>
      <c r="RVL224" s="1"/>
      <c r="RVM224" s="1"/>
      <c r="RVN224" s="1"/>
      <c r="RVO224" s="1"/>
      <c r="RVP224" s="1"/>
      <c r="RVQ224" s="1"/>
      <c r="RVR224" s="1"/>
      <c r="RVS224" s="1"/>
      <c r="RVT224" s="1"/>
      <c r="RVU224" s="1"/>
      <c r="RVV224" s="1"/>
      <c r="RVW224" s="1"/>
      <c r="RVX224" s="1"/>
      <c r="RVY224" s="1"/>
      <c r="RVZ224" s="1"/>
      <c r="RWA224" s="1"/>
      <c r="RWB224" s="1"/>
      <c r="RWC224" s="1"/>
      <c r="RWD224" s="1"/>
      <c r="RWE224" s="1"/>
      <c r="RWF224" s="1"/>
      <c r="RWG224" s="1"/>
      <c r="RWH224" s="1"/>
      <c r="RWI224" s="1"/>
      <c r="RWJ224" s="1"/>
      <c r="RWK224" s="1"/>
      <c r="RWL224" s="1"/>
      <c r="RWM224" s="1"/>
      <c r="RWN224" s="1"/>
      <c r="RWO224" s="1"/>
      <c r="RWP224" s="1"/>
      <c r="RWQ224" s="1"/>
      <c r="RWR224" s="1"/>
      <c r="RWS224" s="1"/>
      <c r="RWT224" s="1"/>
      <c r="RWU224" s="1"/>
      <c r="RWV224" s="1"/>
      <c r="RWW224" s="1"/>
      <c r="RWX224" s="1"/>
      <c r="RWY224" s="1"/>
      <c r="RWZ224" s="1"/>
      <c r="RXA224" s="1"/>
      <c r="RXB224" s="1"/>
      <c r="RXC224" s="1"/>
      <c r="RXD224" s="1"/>
      <c r="RXE224" s="1"/>
      <c r="RXF224" s="1"/>
      <c r="RXG224" s="1"/>
      <c r="RXH224" s="1"/>
      <c r="RXI224" s="1"/>
      <c r="RXJ224" s="1"/>
      <c r="RXK224" s="1"/>
      <c r="RXL224" s="1"/>
      <c r="RXM224" s="1"/>
      <c r="RXN224" s="1"/>
      <c r="RXO224" s="1"/>
      <c r="RXP224" s="1"/>
      <c r="RXQ224" s="1"/>
      <c r="RXR224" s="1"/>
      <c r="RXS224" s="1"/>
      <c r="RXT224" s="1"/>
      <c r="RXU224" s="1"/>
      <c r="RXV224" s="1"/>
      <c r="RXW224" s="1"/>
      <c r="RXX224" s="1"/>
      <c r="RXY224" s="1"/>
      <c r="RXZ224" s="1"/>
      <c r="RYA224" s="1"/>
      <c r="RYB224" s="1"/>
      <c r="RYC224" s="1"/>
      <c r="RYD224" s="1"/>
      <c r="RYE224" s="1"/>
      <c r="RYF224" s="1"/>
      <c r="RYG224" s="1"/>
      <c r="RYH224" s="1"/>
      <c r="RYI224" s="1"/>
      <c r="RYJ224" s="1"/>
      <c r="RYK224" s="1"/>
      <c r="RYL224" s="1"/>
      <c r="RYM224" s="1"/>
      <c r="RYN224" s="1"/>
      <c r="RYO224" s="1"/>
      <c r="RYP224" s="1"/>
      <c r="RYQ224" s="1"/>
      <c r="RYR224" s="1"/>
      <c r="RYS224" s="1"/>
      <c r="RYT224" s="1"/>
      <c r="RYU224" s="1"/>
      <c r="RYV224" s="1"/>
      <c r="RYW224" s="1"/>
      <c r="RYX224" s="1"/>
      <c r="RYY224" s="1"/>
      <c r="RYZ224" s="1"/>
      <c r="RZA224" s="1"/>
      <c r="RZB224" s="1"/>
      <c r="RZC224" s="1"/>
      <c r="RZD224" s="1"/>
      <c r="RZE224" s="1"/>
      <c r="RZF224" s="1"/>
      <c r="RZG224" s="1"/>
      <c r="RZH224" s="1"/>
      <c r="RZI224" s="1"/>
      <c r="RZJ224" s="1"/>
      <c r="RZK224" s="1"/>
      <c r="RZL224" s="1"/>
      <c r="RZM224" s="1"/>
      <c r="RZN224" s="1"/>
      <c r="RZO224" s="1"/>
      <c r="RZP224" s="1"/>
      <c r="RZQ224" s="1"/>
      <c r="RZR224" s="1"/>
      <c r="RZS224" s="1"/>
      <c r="RZT224" s="1"/>
      <c r="RZU224" s="1"/>
      <c r="RZV224" s="1"/>
      <c r="RZW224" s="1"/>
      <c r="RZX224" s="1"/>
      <c r="RZY224" s="1"/>
      <c r="RZZ224" s="1"/>
      <c r="SAA224" s="1"/>
      <c r="SAB224" s="1"/>
      <c r="SAC224" s="1"/>
      <c r="SAD224" s="1"/>
      <c r="SAE224" s="1"/>
      <c r="SAF224" s="1"/>
      <c r="SAG224" s="1"/>
      <c r="SAH224" s="1"/>
      <c r="SAI224" s="1"/>
      <c r="SAJ224" s="1"/>
      <c r="SAK224" s="1"/>
      <c r="SAL224" s="1"/>
      <c r="SAM224" s="1"/>
      <c r="SAN224" s="1"/>
      <c r="SAO224" s="1"/>
      <c r="SAP224" s="1"/>
      <c r="SAQ224" s="1"/>
      <c r="SAR224" s="1"/>
      <c r="SAS224" s="1"/>
      <c r="SAT224" s="1"/>
      <c r="SAU224" s="1"/>
      <c r="SAV224" s="1"/>
      <c r="SAW224" s="1"/>
      <c r="SAX224" s="1"/>
      <c r="SAY224" s="1"/>
      <c r="SAZ224" s="1"/>
      <c r="SBA224" s="1"/>
      <c r="SBB224" s="1"/>
      <c r="SBC224" s="1"/>
      <c r="SBD224" s="1"/>
      <c r="SBE224" s="1"/>
      <c r="SBF224" s="1"/>
      <c r="SBG224" s="1"/>
      <c r="SBH224" s="1"/>
      <c r="SBI224" s="1"/>
      <c r="SBJ224" s="1"/>
      <c r="SBK224" s="1"/>
      <c r="SBL224" s="1"/>
      <c r="SBM224" s="1"/>
      <c r="SBN224" s="1"/>
      <c r="SBO224" s="1"/>
      <c r="SBP224" s="1"/>
      <c r="SBQ224" s="1"/>
      <c r="SBR224" s="1"/>
      <c r="SBS224" s="1"/>
      <c r="SBT224" s="1"/>
      <c r="SBU224" s="1"/>
      <c r="SBV224" s="1"/>
      <c r="SBW224" s="1"/>
      <c r="SBX224" s="1"/>
      <c r="SBY224" s="1"/>
      <c r="SBZ224" s="1"/>
      <c r="SCA224" s="1"/>
      <c r="SCB224" s="1"/>
      <c r="SCC224" s="1"/>
      <c r="SCD224" s="1"/>
      <c r="SCE224" s="1"/>
      <c r="SCF224" s="1"/>
      <c r="SCG224" s="1"/>
      <c r="SCH224" s="1"/>
      <c r="SCI224" s="1"/>
      <c r="SCJ224" s="1"/>
      <c r="SCK224" s="1"/>
      <c r="SCL224" s="1"/>
      <c r="SCM224" s="1"/>
      <c r="SCN224" s="1"/>
      <c r="SCO224" s="1"/>
      <c r="SCP224" s="1"/>
      <c r="SCQ224" s="1"/>
      <c r="SCR224" s="1"/>
      <c r="SCS224" s="1"/>
      <c r="SCT224" s="1"/>
      <c r="SCU224" s="1"/>
      <c r="SCV224" s="1"/>
      <c r="SCW224" s="1"/>
      <c r="SCX224" s="1"/>
      <c r="SCY224" s="1"/>
      <c r="SCZ224" s="1"/>
      <c r="SDA224" s="1"/>
      <c r="SDB224" s="1"/>
      <c r="SDC224" s="1"/>
      <c r="SDD224" s="1"/>
      <c r="SDE224" s="1"/>
      <c r="SDF224" s="1"/>
      <c r="SDG224" s="1"/>
      <c r="SDH224" s="1"/>
      <c r="SDI224" s="1"/>
      <c r="SDJ224" s="1"/>
      <c r="SDK224" s="1"/>
      <c r="SDL224" s="1"/>
      <c r="SDM224" s="1"/>
      <c r="SDN224" s="1"/>
      <c r="SDO224" s="1"/>
      <c r="SDP224" s="1"/>
      <c r="SDQ224" s="1"/>
      <c r="SDR224" s="1"/>
      <c r="SDS224" s="1"/>
      <c r="SDT224" s="1"/>
      <c r="SDU224" s="1"/>
      <c r="SDV224" s="1"/>
      <c r="SDW224" s="1"/>
      <c r="SDX224" s="1"/>
      <c r="SDY224" s="1"/>
      <c r="SDZ224" s="1"/>
      <c r="SEA224" s="1"/>
      <c r="SEB224" s="1"/>
      <c r="SEC224" s="1"/>
      <c r="SED224" s="1"/>
      <c r="SEE224" s="1"/>
      <c r="SEF224" s="1"/>
      <c r="SEG224" s="1"/>
      <c r="SEH224" s="1"/>
      <c r="SEI224" s="1"/>
      <c r="SEJ224" s="1"/>
      <c r="SEK224" s="1"/>
      <c r="SEL224" s="1"/>
      <c r="SEM224" s="1"/>
      <c r="SEN224" s="1"/>
      <c r="SEO224" s="1"/>
      <c r="SEP224" s="1"/>
      <c r="SEQ224" s="1"/>
      <c r="SER224" s="1"/>
      <c r="SES224" s="1"/>
      <c r="SET224" s="1"/>
      <c r="SEU224" s="1"/>
      <c r="SEV224" s="1"/>
      <c r="SEW224" s="1"/>
      <c r="SEX224" s="1"/>
      <c r="SEY224" s="1"/>
      <c r="SEZ224" s="1"/>
      <c r="SFA224" s="1"/>
      <c r="SFB224" s="1"/>
      <c r="SFC224" s="1"/>
      <c r="SFD224" s="1"/>
      <c r="SFE224" s="1"/>
      <c r="SFF224" s="1"/>
      <c r="SFG224" s="1"/>
      <c r="SFH224" s="1"/>
      <c r="SFI224" s="1"/>
      <c r="SFJ224" s="1"/>
      <c r="SFK224" s="1"/>
      <c r="SFL224" s="1"/>
      <c r="SFM224" s="1"/>
      <c r="SFN224" s="1"/>
      <c r="SFO224" s="1"/>
      <c r="SFP224" s="1"/>
      <c r="SFQ224" s="1"/>
      <c r="SFR224" s="1"/>
      <c r="SFS224" s="1"/>
      <c r="SFT224" s="1"/>
      <c r="SFU224" s="1"/>
      <c r="SFV224" s="1"/>
      <c r="SFW224" s="1"/>
      <c r="SFX224" s="1"/>
      <c r="SFY224" s="1"/>
      <c r="SFZ224" s="1"/>
      <c r="SGA224" s="1"/>
      <c r="SGB224" s="1"/>
      <c r="SGC224" s="1"/>
      <c r="SGD224" s="1"/>
      <c r="SGE224" s="1"/>
      <c r="SGF224" s="1"/>
      <c r="SGG224" s="1"/>
      <c r="SGH224" s="1"/>
      <c r="SGI224" s="1"/>
      <c r="SGJ224" s="1"/>
      <c r="SGK224" s="1"/>
      <c r="SGL224" s="1"/>
      <c r="SGM224" s="1"/>
      <c r="SGN224" s="1"/>
      <c r="SGO224" s="1"/>
      <c r="SGP224" s="1"/>
      <c r="SGQ224" s="1"/>
      <c r="SGR224" s="1"/>
      <c r="SGS224" s="1"/>
      <c r="SGT224" s="1"/>
      <c r="SGU224" s="1"/>
      <c r="SGV224" s="1"/>
      <c r="SGW224" s="1"/>
      <c r="SGX224" s="1"/>
      <c r="SGY224" s="1"/>
      <c r="SGZ224" s="1"/>
      <c r="SHA224" s="1"/>
      <c r="SHB224" s="1"/>
      <c r="SHC224" s="1"/>
      <c r="SHD224" s="1"/>
      <c r="SHE224" s="1"/>
      <c r="SHF224" s="1"/>
      <c r="SHG224" s="1"/>
      <c r="SHH224" s="1"/>
      <c r="SHI224" s="1"/>
      <c r="SHJ224" s="1"/>
      <c r="SHK224" s="1"/>
      <c r="SHL224" s="1"/>
      <c r="SHM224" s="1"/>
      <c r="SHN224" s="1"/>
      <c r="SHO224" s="1"/>
      <c r="SHP224" s="1"/>
      <c r="SHQ224" s="1"/>
      <c r="SHR224" s="1"/>
      <c r="SHS224" s="1"/>
      <c r="SHT224" s="1"/>
      <c r="SHU224" s="1"/>
      <c r="SHV224" s="1"/>
      <c r="SHW224" s="1"/>
      <c r="SHX224" s="1"/>
      <c r="SHY224" s="1"/>
      <c r="SHZ224" s="1"/>
      <c r="SIA224" s="1"/>
      <c r="SIB224" s="1"/>
      <c r="SIC224" s="1"/>
      <c r="SID224" s="1"/>
      <c r="SIE224" s="1"/>
      <c r="SIF224" s="1"/>
      <c r="SIG224" s="1"/>
      <c r="SIH224" s="1"/>
      <c r="SII224" s="1"/>
      <c r="SIJ224" s="1"/>
      <c r="SIK224" s="1"/>
      <c r="SIL224" s="1"/>
      <c r="SIM224" s="1"/>
      <c r="SIN224" s="1"/>
      <c r="SIO224" s="1"/>
      <c r="SIP224" s="1"/>
      <c r="SIQ224" s="1"/>
      <c r="SIR224" s="1"/>
      <c r="SIS224" s="1"/>
      <c r="SIT224" s="1"/>
      <c r="SIU224" s="1"/>
      <c r="SIV224" s="1"/>
      <c r="SIW224" s="1"/>
      <c r="SIX224" s="1"/>
      <c r="SIY224" s="1"/>
      <c r="SIZ224" s="1"/>
      <c r="SJA224" s="1"/>
      <c r="SJB224" s="1"/>
      <c r="SJC224" s="1"/>
      <c r="SJD224" s="1"/>
      <c r="SJE224" s="1"/>
      <c r="SJF224" s="1"/>
      <c r="SJG224" s="1"/>
      <c r="SJH224" s="1"/>
      <c r="SJI224" s="1"/>
      <c r="SJJ224" s="1"/>
      <c r="SJK224" s="1"/>
      <c r="SJL224" s="1"/>
      <c r="SJM224" s="1"/>
      <c r="SJN224" s="1"/>
      <c r="SJO224" s="1"/>
      <c r="SJP224" s="1"/>
      <c r="SJQ224" s="1"/>
      <c r="SJR224" s="1"/>
      <c r="SJS224" s="1"/>
      <c r="SJT224" s="1"/>
      <c r="SJU224" s="1"/>
      <c r="SJV224" s="1"/>
      <c r="SJW224" s="1"/>
      <c r="SJX224" s="1"/>
      <c r="SJY224" s="1"/>
      <c r="SJZ224" s="1"/>
      <c r="SKA224" s="1"/>
      <c r="SKB224" s="1"/>
      <c r="SKC224" s="1"/>
      <c r="SKD224" s="1"/>
      <c r="SKE224" s="1"/>
      <c r="SKF224" s="1"/>
      <c r="SKG224" s="1"/>
      <c r="SKH224" s="1"/>
      <c r="SKI224" s="1"/>
      <c r="SKJ224" s="1"/>
      <c r="SKK224" s="1"/>
      <c r="SKL224" s="1"/>
      <c r="SKM224" s="1"/>
      <c r="SKN224" s="1"/>
      <c r="SKO224" s="1"/>
      <c r="SKP224" s="1"/>
      <c r="SKQ224" s="1"/>
      <c r="SKR224" s="1"/>
      <c r="SKS224" s="1"/>
      <c r="SKT224" s="1"/>
      <c r="SKU224" s="1"/>
      <c r="SKV224" s="1"/>
      <c r="SKW224" s="1"/>
      <c r="SKX224" s="1"/>
      <c r="SKY224" s="1"/>
      <c r="SKZ224" s="1"/>
      <c r="SLA224" s="1"/>
      <c r="SLB224" s="1"/>
      <c r="SLC224" s="1"/>
      <c r="SLD224" s="1"/>
      <c r="SLE224" s="1"/>
      <c r="SLF224" s="1"/>
      <c r="SLG224" s="1"/>
      <c r="SLH224" s="1"/>
      <c r="SLI224" s="1"/>
      <c r="SLJ224" s="1"/>
      <c r="SLK224" s="1"/>
      <c r="SLL224" s="1"/>
      <c r="SLM224" s="1"/>
      <c r="SLN224" s="1"/>
      <c r="SLO224" s="1"/>
      <c r="SLP224" s="1"/>
      <c r="SLQ224" s="1"/>
      <c r="SLR224" s="1"/>
      <c r="SLS224" s="1"/>
      <c r="SLT224" s="1"/>
      <c r="SLU224" s="1"/>
      <c r="SLV224" s="1"/>
      <c r="SLW224" s="1"/>
      <c r="SLX224" s="1"/>
      <c r="SLY224" s="1"/>
      <c r="SLZ224" s="1"/>
      <c r="SMA224" s="1"/>
      <c r="SMB224" s="1"/>
      <c r="SMC224" s="1"/>
      <c r="SMD224" s="1"/>
      <c r="SME224" s="1"/>
      <c r="SMF224" s="1"/>
      <c r="SMG224" s="1"/>
      <c r="SMH224" s="1"/>
      <c r="SMI224" s="1"/>
      <c r="SMJ224" s="1"/>
      <c r="SMK224" s="1"/>
      <c r="SML224" s="1"/>
      <c r="SMM224" s="1"/>
      <c r="SMN224" s="1"/>
      <c r="SMO224" s="1"/>
      <c r="SMP224" s="1"/>
      <c r="SMQ224" s="1"/>
      <c r="SMR224" s="1"/>
      <c r="SMS224" s="1"/>
      <c r="SMT224" s="1"/>
      <c r="SMU224" s="1"/>
      <c r="SMV224" s="1"/>
      <c r="SMW224" s="1"/>
      <c r="SMX224" s="1"/>
      <c r="SMY224" s="1"/>
      <c r="SMZ224" s="1"/>
      <c r="SNA224" s="1"/>
      <c r="SNB224" s="1"/>
      <c r="SNC224" s="1"/>
      <c r="SND224" s="1"/>
      <c r="SNE224" s="1"/>
      <c r="SNF224" s="1"/>
      <c r="SNG224" s="1"/>
      <c r="SNH224" s="1"/>
      <c r="SNI224" s="1"/>
      <c r="SNJ224" s="1"/>
      <c r="SNK224" s="1"/>
      <c r="SNL224" s="1"/>
      <c r="SNM224" s="1"/>
      <c r="SNN224" s="1"/>
      <c r="SNO224" s="1"/>
      <c r="SNP224" s="1"/>
      <c r="SNQ224" s="1"/>
      <c r="SNR224" s="1"/>
      <c r="SNS224" s="1"/>
      <c r="SNT224" s="1"/>
      <c r="SNU224" s="1"/>
      <c r="SNV224" s="1"/>
      <c r="SNW224" s="1"/>
      <c r="SNX224" s="1"/>
      <c r="SNY224" s="1"/>
      <c r="SNZ224" s="1"/>
      <c r="SOA224" s="1"/>
      <c r="SOB224" s="1"/>
      <c r="SOC224" s="1"/>
      <c r="SOD224" s="1"/>
      <c r="SOE224" s="1"/>
      <c r="SOF224" s="1"/>
      <c r="SOG224" s="1"/>
      <c r="SOH224" s="1"/>
      <c r="SOI224" s="1"/>
      <c r="SOJ224" s="1"/>
      <c r="SOK224" s="1"/>
      <c r="SOL224" s="1"/>
      <c r="SOM224" s="1"/>
      <c r="SON224" s="1"/>
      <c r="SOO224" s="1"/>
      <c r="SOP224" s="1"/>
      <c r="SOQ224" s="1"/>
      <c r="SOR224" s="1"/>
      <c r="SOS224" s="1"/>
      <c r="SOT224" s="1"/>
      <c r="SOU224" s="1"/>
      <c r="SOV224" s="1"/>
      <c r="SOW224" s="1"/>
      <c r="SOX224" s="1"/>
      <c r="SOY224" s="1"/>
      <c r="SOZ224" s="1"/>
      <c r="SPA224" s="1"/>
      <c r="SPB224" s="1"/>
      <c r="SPC224" s="1"/>
      <c r="SPD224" s="1"/>
      <c r="SPE224" s="1"/>
      <c r="SPF224" s="1"/>
      <c r="SPG224" s="1"/>
      <c r="SPH224" s="1"/>
      <c r="SPI224" s="1"/>
      <c r="SPJ224" s="1"/>
      <c r="SPK224" s="1"/>
      <c r="SPL224" s="1"/>
      <c r="SPM224" s="1"/>
      <c r="SPN224" s="1"/>
      <c r="SPO224" s="1"/>
      <c r="SPP224" s="1"/>
      <c r="SPQ224" s="1"/>
      <c r="SPR224" s="1"/>
      <c r="SPS224" s="1"/>
      <c r="SPT224" s="1"/>
      <c r="SPU224" s="1"/>
      <c r="SPV224" s="1"/>
      <c r="SPW224" s="1"/>
      <c r="SPX224" s="1"/>
      <c r="SPY224" s="1"/>
      <c r="SPZ224" s="1"/>
      <c r="SQA224" s="1"/>
      <c r="SQB224" s="1"/>
      <c r="SQC224" s="1"/>
      <c r="SQD224" s="1"/>
      <c r="SQE224" s="1"/>
      <c r="SQF224" s="1"/>
      <c r="SQG224" s="1"/>
      <c r="SQH224" s="1"/>
      <c r="SQI224" s="1"/>
      <c r="SQJ224" s="1"/>
      <c r="SQK224" s="1"/>
      <c r="SQL224" s="1"/>
      <c r="SQM224" s="1"/>
      <c r="SQN224" s="1"/>
      <c r="SQO224" s="1"/>
      <c r="SQP224" s="1"/>
      <c r="SQQ224" s="1"/>
      <c r="SQR224" s="1"/>
      <c r="SQS224" s="1"/>
      <c r="SQT224" s="1"/>
      <c r="SQU224" s="1"/>
      <c r="SQV224" s="1"/>
      <c r="SQW224" s="1"/>
      <c r="SQX224" s="1"/>
      <c r="SQY224" s="1"/>
      <c r="SQZ224" s="1"/>
      <c r="SRA224" s="1"/>
      <c r="SRB224" s="1"/>
      <c r="SRC224" s="1"/>
      <c r="SRD224" s="1"/>
      <c r="SRE224" s="1"/>
      <c r="SRF224" s="1"/>
      <c r="SRG224" s="1"/>
      <c r="SRH224" s="1"/>
      <c r="SRI224" s="1"/>
      <c r="SRJ224" s="1"/>
      <c r="SRK224" s="1"/>
      <c r="SRL224" s="1"/>
      <c r="SRM224" s="1"/>
      <c r="SRN224" s="1"/>
      <c r="SRO224" s="1"/>
      <c r="SRP224" s="1"/>
      <c r="SRQ224" s="1"/>
      <c r="SRR224" s="1"/>
      <c r="SRS224" s="1"/>
      <c r="SRT224" s="1"/>
      <c r="SRU224" s="1"/>
      <c r="SRV224" s="1"/>
      <c r="SRW224" s="1"/>
      <c r="SRX224" s="1"/>
      <c r="SRY224" s="1"/>
      <c r="SRZ224" s="1"/>
      <c r="SSA224" s="1"/>
      <c r="SSB224" s="1"/>
      <c r="SSC224" s="1"/>
      <c r="SSD224" s="1"/>
      <c r="SSE224" s="1"/>
      <c r="SSF224" s="1"/>
      <c r="SSG224" s="1"/>
      <c r="SSH224" s="1"/>
      <c r="SSI224" s="1"/>
      <c r="SSJ224" s="1"/>
      <c r="SSK224" s="1"/>
      <c r="SSL224" s="1"/>
      <c r="SSM224" s="1"/>
      <c r="SSN224" s="1"/>
      <c r="SSO224" s="1"/>
      <c r="SSP224" s="1"/>
      <c r="SSQ224" s="1"/>
      <c r="SSR224" s="1"/>
      <c r="SSS224" s="1"/>
      <c r="SST224" s="1"/>
      <c r="SSU224" s="1"/>
      <c r="SSV224" s="1"/>
      <c r="SSW224" s="1"/>
      <c r="SSX224" s="1"/>
      <c r="SSY224" s="1"/>
      <c r="SSZ224" s="1"/>
      <c r="STA224" s="1"/>
      <c r="STB224" s="1"/>
      <c r="STC224" s="1"/>
      <c r="STD224" s="1"/>
      <c r="STE224" s="1"/>
      <c r="STF224" s="1"/>
      <c r="STG224" s="1"/>
      <c r="STH224" s="1"/>
      <c r="STI224" s="1"/>
      <c r="STJ224" s="1"/>
      <c r="STK224" s="1"/>
      <c r="STL224" s="1"/>
      <c r="STM224" s="1"/>
      <c r="STN224" s="1"/>
      <c r="STO224" s="1"/>
      <c r="STP224" s="1"/>
      <c r="STQ224" s="1"/>
      <c r="STR224" s="1"/>
      <c r="STS224" s="1"/>
      <c r="STT224" s="1"/>
      <c r="STU224" s="1"/>
      <c r="STV224" s="1"/>
      <c r="STW224" s="1"/>
      <c r="STX224" s="1"/>
      <c r="STY224" s="1"/>
      <c r="STZ224" s="1"/>
      <c r="SUA224" s="1"/>
      <c r="SUB224" s="1"/>
      <c r="SUC224" s="1"/>
      <c r="SUD224" s="1"/>
      <c r="SUE224" s="1"/>
      <c r="SUF224" s="1"/>
      <c r="SUG224" s="1"/>
      <c r="SUH224" s="1"/>
      <c r="SUI224" s="1"/>
      <c r="SUJ224" s="1"/>
      <c r="SUK224" s="1"/>
      <c r="SUL224" s="1"/>
      <c r="SUM224" s="1"/>
      <c r="SUN224" s="1"/>
      <c r="SUO224" s="1"/>
      <c r="SUP224" s="1"/>
      <c r="SUQ224" s="1"/>
      <c r="SUR224" s="1"/>
      <c r="SUS224" s="1"/>
      <c r="SUT224" s="1"/>
      <c r="SUU224" s="1"/>
      <c r="SUV224" s="1"/>
      <c r="SUW224" s="1"/>
      <c r="SUX224" s="1"/>
      <c r="SUY224" s="1"/>
      <c r="SUZ224" s="1"/>
      <c r="SVA224" s="1"/>
      <c r="SVB224" s="1"/>
      <c r="SVC224" s="1"/>
      <c r="SVD224" s="1"/>
      <c r="SVE224" s="1"/>
      <c r="SVF224" s="1"/>
      <c r="SVG224" s="1"/>
      <c r="SVH224" s="1"/>
      <c r="SVI224" s="1"/>
      <c r="SVJ224" s="1"/>
      <c r="SVK224" s="1"/>
      <c r="SVL224" s="1"/>
      <c r="SVM224" s="1"/>
      <c r="SVN224" s="1"/>
      <c r="SVO224" s="1"/>
      <c r="SVP224" s="1"/>
      <c r="SVQ224" s="1"/>
      <c r="SVR224" s="1"/>
      <c r="SVS224" s="1"/>
      <c r="SVT224" s="1"/>
      <c r="SVU224" s="1"/>
      <c r="SVV224" s="1"/>
      <c r="SVW224" s="1"/>
      <c r="SVX224" s="1"/>
      <c r="SVY224" s="1"/>
      <c r="SVZ224" s="1"/>
      <c r="SWA224" s="1"/>
      <c r="SWB224" s="1"/>
      <c r="SWC224" s="1"/>
      <c r="SWD224" s="1"/>
      <c r="SWE224" s="1"/>
      <c r="SWF224" s="1"/>
      <c r="SWG224" s="1"/>
      <c r="SWH224" s="1"/>
      <c r="SWI224" s="1"/>
      <c r="SWJ224" s="1"/>
      <c r="SWK224" s="1"/>
      <c r="SWL224" s="1"/>
      <c r="SWM224" s="1"/>
      <c r="SWN224" s="1"/>
      <c r="SWO224" s="1"/>
      <c r="SWP224" s="1"/>
      <c r="SWQ224" s="1"/>
      <c r="SWR224" s="1"/>
      <c r="SWS224" s="1"/>
      <c r="SWT224" s="1"/>
      <c r="SWU224" s="1"/>
      <c r="SWV224" s="1"/>
      <c r="SWW224" s="1"/>
      <c r="SWX224" s="1"/>
      <c r="SWY224" s="1"/>
      <c r="SWZ224" s="1"/>
      <c r="SXA224" s="1"/>
      <c r="SXB224" s="1"/>
      <c r="SXC224" s="1"/>
      <c r="SXD224" s="1"/>
      <c r="SXE224" s="1"/>
      <c r="SXF224" s="1"/>
      <c r="SXG224" s="1"/>
      <c r="SXH224" s="1"/>
      <c r="SXI224" s="1"/>
      <c r="SXJ224" s="1"/>
      <c r="SXK224" s="1"/>
      <c r="SXL224" s="1"/>
      <c r="SXM224" s="1"/>
      <c r="SXN224" s="1"/>
      <c r="SXO224" s="1"/>
      <c r="SXP224" s="1"/>
      <c r="SXQ224" s="1"/>
      <c r="SXR224" s="1"/>
      <c r="SXS224" s="1"/>
      <c r="SXT224" s="1"/>
      <c r="SXU224" s="1"/>
      <c r="SXV224" s="1"/>
      <c r="SXW224" s="1"/>
      <c r="SXX224" s="1"/>
      <c r="SXY224" s="1"/>
      <c r="SXZ224" s="1"/>
      <c r="SYA224" s="1"/>
      <c r="SYB224" s="1"/>
      <c r="SYC224" s="1"/>
      <c r="SYD224" s="1"/>
      <c r="SYE224" s="1"/>
      <c r="SYF224" s="1"/>
      <c r="SYG224" s="1"/>
      <c r="SYH224" s="1"/>
      <c r="SYI224" s="1"/>
      <c r="SYJ224" s="1"/>
      <c r="SYK224" s="1"/>
      <c r="SYL224" s="1"/>
      <c r="SYM224" s="1"/>
      <c r="SYN224" s="1"/>
      <c r="SYO224" s="1"/>
      <c r="SYP224" s="1"/>
      <c r="SYQ224" s="1"/>
      <c r="SYR224" s="1"/>
      <c r="SYS224" s="1"/>
      <c r="SYT224" s="1"/>
      <c r="SYU224" s="1"/>
      <c r="SYV224" s="1"/>
      <c r="SYW224" s="1"/>
      <c r="SYX224" s="1"/>
      <c r="SYY224" s="1"/>
      <c r="SYZ224" s="1"/>
      <c r="SZA224" s="1"/>
      <c r="SZB224" s="1"/>
      <c r="SZC224" s="1"/>
      <c r="SZD224" s="1"/>
      <c r="SZE224" s="1"/>
      <c r="SZF224" s="1"/>
      <c r="SZG224" s="1"/>
      <c r="SZH224" s="1"/>
      <c r="SZI224" s="1"/>
      <c r="SZJ224" s="1"/>
      <c r="SZK224" s="1"/>
      <c r="SZL224" s="1"/>
      <c r="SZM224" s="1"/>
      <c r="SZN224" s="1"/>
      <c r="SZO224" s="1"/>
      <c r="SZP224" s="1"/>
      <c r="SZQ224" s="1"/>
      <c r="SZR224" s="1"/>
      <c r="SZS224" s="1"/>
      <c r="SZT224" s="1"/>
      <c r="SZU224" s="1"/>
      <c r="SZV224" s="1"/>
      <c r="SZW224" s="1"/>
      <c r="SZX224" s="1"/>
      <c r="SZY224" s="1"/>
      <c r="SZZ224" s="1"/>
      <c r="TAA224" s="1"/>
      <c r="TAB224" s="1"/>
      <c r="TAC224" s="1"/>
      <c r="TAD224" s="1"/>
      <c r="TAE224" s="1"/>
      <c r="TAF224" s="1"/>
      <c r="TAG224" s="1"/>
      <c r="TAH224" s="1"/>
      <c r="TAI224" s="1"/>
      <c r="TAJ224" s="1"/>
      <c r="TAK224" s="1"/>
      <c r="TAL224" s="1"/>
      <c r="TAM224" s="1"/>
      <c r="TAN224" s="1"/>
      <c r="TAO224" s="1"/>
      <c r="TAP224" s="1"/>
      <c r="TAQ224" s="1"/>
      <c r="TAR224" s="1"/>
      <c r="TAS224" s="1"/>
      <c r="TAT224" s="1"/>
      <c r="TAU224" s="1"/>
      <c r="TAV224" s="1"/>
      <c r="TAW224" s="1"/>
      <c r="TAX224" s="1"/>
      <c r="TAY224" s="1"/>
      <c r="TAZ224" s="1"/>
      <c r="TBA224" s="1"/>
      <c r="TBB224" s="1"/>
      <c r="TBC224" s="1"/>
      <c r="TBD224" s="1"/>
      <c r="TBE224" s="1"/>
      <c r="TBF224" s="1"/>
      <c r="TBG224" s="1"/>
      <c r="TBH224" s="1"/>
      <c r="TBI224" s="1"/>
      <c r="TBJ224" s="1"/>
      <c r="TBK224" s="1"/>
      <c r="TBL224" s="1"/>
      <c r="TBM224" s="1"/>
      <c r="TBN224" s="1"/>
      <c r="TBO224" s="1"/>
      <c r="TBP224" s="1"/>
      <c r="TBQ224" s="1"/>
      <c r="TBR224" s="1"/>
      <c r="TBS224" s="1"/>
      <c r="TBT224" s="1"/>
      <c r="TBU224" s="1"/>
      <c r="TBV224" s="1"/>
      <c r="TBW224" s="1"/>
      <c r="TBX224" s="1"/>
      <c r="TBY224" s="1"/>
      <c r="TBZ224" s="1"/>
      <c r="TCA224" s="1"/>
      <c r="TCB224" s="1"/>
      <c r="TCC224" s="1"/>
      <c r="TCD224" s="1"/>
      <c r="TCE224" s="1"/>
      <c r="TCF224" s="1"/>
      <c r="TCG224" s="1"/>
      <c r="TCH224" s="1"/>
      <c r="TCI224" s="1"/>
      <c r="TCJ224" s="1"/>
      <c r="TCK224" s="1"/>
      <c r="TCL224" s="1"/>
      <c r="TCM224" s="1"/>
      <c r="TCN224" s="1"/>
      <c r="TCO224" s="1"/>
      <c r="TCP224" s="1"/>
      <c r="TCQ224" s="1"/>
      <c r="TCR224" s="1"/>
      <c r="TCS224" s="1"/>
      <c r="TCT224" s="1"/>
      <c r="TCU224" s="1"/>
      <c r="TCV224" s="1"/>
      <c r="TCW224" s="1"/>
      <c r="TCX224" s="1"/>
      <c r="TCY224" s="1"/>
      <c r="TCZ224" s="1"/>
      <c r="TDA224" s="1"/>
      <c r="TDB224" s="1"/>
      <c r="TDC224" s="1"/>
      <c r="TDD224" s="1"/>
      <c r="TDE224" s="1"/>
      <c r="TDF224" s="1"/>
      <c r="TDG224" s="1"/>
      <c r="TDH224" s="1"/>
      <c r="TDI224" s="1"/>
      <c r="TDJ224" s="1"/>
      <c r="TDK224" s="1"/>
      <c r="TDL224" s="1"/>
      <c r="TDM224" s="1"/>
      <c r="TDN224" s="1"/>
      <c r="TDO224" s="1"/>
      <c r="TDP224" s="1"/>
      <c r="TDQ224" s="1"/>
      <c r="TDR224" s="1"/>
      <c r="TDS224" s="1"/>
      <c r="TDT224" s="1"/>
      <c r="TDU224" s="1"/>
      <c r="TDV224" s="1"/>
      <c r="TDW224" s="1"/>
      <c r="TDX224" s="1"/>
      <c r="TDY224" s="1"/>
      <c r="TDZ224" s="1"/>
      <c r="TEA224" s="1"/>
      <c r="TEB224" s="1"/>
      <c r="TEC224" s="1"/>
      <c r="TED224" s="1"/>
      <c r="TEE224" s="1"/>
      <c r="TEF224" s="1"/>
      <c r="TEG224" s="1"/>
      <c r="TEH224" s="1"/>
      <c r="TEI224" s="1"/>
      <c r="TEJ224" s="1"/>
      <c r="TEK224" s="1"/>
      <c r="TEL224" s="1"/>
      <c r="TEM224" s="1"/>
      <c r="TEN224" s="1"/>
      <c r="TEO224" s="1"/>
      <c r="TEP224" s="1"/>
      <c r="TEQ224" s="1"/>
      <c r="TER224" s="1"/>
      <c r="TES224" s="1"/>
      <c r="TET224" s="1"/>
      <c r="TEU224" s="1"/>
      <c r="TEV224" s="1"/>
      <c r="TEW224" s="1"/>
      <c r="TEX224" s="1"/>
      <c r="TEY224" s="1"/>
      <c r="TEZ224" s="1"/>
      <c r="TFA224" s="1"/>
      <c r="TFB224" s="1"/>
      <c r="TFC224" s="1"/>
      <c r="TFD224" s="1"/>
      <c r="TFE224" s="1"/>
      <c r="TFF224" s="1"/>
      <c r="TFG224" s="1"/>
      <c r="TFH224" s="1"/>
      <c r="TFI224" s="1"/>
      <c r="TFJ224" s="1"/>
      <c r="TFK224" s="1"/>
      <c r="TFL224" s="1"/>
      <c r="TFM224" s="1"/>
      <c r="TFN224" s="1"/>
      <c r="TFO224" s="1"/>
      <c r="TFP224" s="1"/>
      <c r="TFQ224" s="1"/>
      <c r="TFR224" s="1"/>
      <c r="TFS224" s="1"/>
      <c r="TFT224" s="1"/>
      <c r="TFU224" s="1"/>
      <c r="TFV224" s="1"/>
      <c r="TFW224" s="1"/>
      <c r="TFX224" s="1"/>
      <c r="TFY224" s="1"/>
      <c r="TFZ224" s="1"/>
      <c r="TGA224" s="1"/>
      <c r="TGB224" s="1"/>
      <c r="TGC224" s="1"/>
      <c r="TGD224" s="1"/>
      <c r="TGE224" s="1"/>
      <c r="TGF224" s="1"/>
      <c r="TGG224" s="1"/>
      <c r="TGH224" s="1"/>
      <c r="TGI224" s="1"/>
      <c r="TGJ224" s="1"/>
      <c r="TGK224" s="1"/>
      <c r="TGL224" s="1"/>
      <c r="TGM224" s="1"/>
      <c r="TGN224" s="1"/>
      <c r="TGO224" s="1"/>
      <c r="TGP224" s="1"/>
      <c r="TGQ224" s="1"/>
      <c r="TGR224" s="1"/>
      <c r="TGS224" s="1"/>
      <c r="TGT224" s="1"/>
      <c r="TGU224" s="1"/>
      <c r="TGV224" s="1"/>
      <c r="TGW224" s="1"/>
      <c r="TGX224" s="1"/>
      <c r="TGY224" s="1"/>
      <c r="TGZ224" s="1"/>
      <c r="THA224" s="1"/>
      <c r="THB224" s="1"/>
      <c r="THC224" s="1"/>
      <c r="THD224" s="1"/>
      <c r="THE224" s="1"/>
      <c r="THF224" s="1"/>
      <c r="THG224" s="1"/>
      <c r="THH224" s="1"/>
      <c r="THI224" s="1"/>
      <c r="THJ224" s="1"/>
      <c r="THK224" s="1"/>
      <c r="THL224" s="1"/>
      <c r="THM224" s="1"/>
      <c r="THN224" s="1"/>
      <c r="THO224" s="1"/>
      <c r="THP224" s="1"/>
      <c r="THQ224" s="1"/>
      <c r="THR224" s="1"/>
      <c r="THS224" s="1"/>
      <c r="THT224" s="1"/>
      <c r="THU224" s="1"/>
      <c r="THV224" s="1"/>
      <c r="THW224" s="1"/>
      <c r="THX224" s="1"/>
      <c r="THY224" s="1"/>
      <c r="THZ224" s="1"/>
      <c r="TIA224" s="1"/>
      <c r="TIB224" s="1"/>
      <c r="TIC224" s="1"/>
      <c r="TID224" s="1"/>
      <c r="TIE224" s="1"/>
      <c r="TIF224" s="1"/>
      <c r="TIG224" s="1"/>
      <c r="TIH224" s="1"/>
      <c r="TII224" s="1"/>
      <c r="TIJ224" s="1"/>
      <c r="TIK224" s="1"/>
      <c r="TIL224" s="1"/>
      <c r="TIM224" s="1"/>
      <c r="TIN224" s="1"/>
      <c r="TIO224" s="1"/>
      <c r="TIP224" s="1"/>
      <c r="TIQ224" s="1"/>
      <c r="TIR224" s="1"/>
      <c r="TIS224" s="1"/>
      <c r="TIT224" s="1"/>
      <c r="TIU224" s="1"/>
      <c r="TIV224" s="1"/>
      <c r="TIW224" s="1"/>
      <c r="TIX224" s="1"/>
      <c r="TIY224" s="1"/>
      <c r="TIZ224" s="1"/>
      <c r="TJA224" s="1"/>
      <c r="TJB224" s="1"/>
      <c r="TJC224" s="1"/>
      <c r="TJD224" s="1"/>
      <c r="TJE224" s="1"/>
      <c r="TJF224" s="1"/>
      <c r="TJG224" s="1"/>
      <c r="TJH224" s="1"/>
      <c r="TJI224" s="1"/>
      <c r="TJJ224" s="1"/>
      <c r="TJK224" s="1"/>
      <c r="TJL224" s="1"/>
      <c r="TJM224" s="1"/>
      <c r="TJN224" s="1"/>
      <c r="TJO224" s="1"/>
      <c r="TJP224" s="1"/>
      <c r="TJQ224" s="1"/>
      <c r="TJR224" s="1"/>
      <c r="TJS224" s="1"/>
      <c r="TJT224" s="1"/>
      <c r="TJU224" s="1"/>
      <c r="TJV224" s="1"/>
      <c r="TJW224" s="1"/>
      <c r="TJX224" s="1"/>
      <c r="TJY224" s="1"/>
      <c r="TJZ224" s="1"/>
      <c r="TKA224" s="1"/>
      <c r="TKB224" s="1"/>
      <c r="TKC224" s="1"/>
      <c r="TKD224" s="1"/>
      <c r="TKE224" s="1"/>
      <c r="TKF224" s="1"/>
      <c r="TKG224" s="1"/>
      <c r="TKH224" s="1"/>
      <c r="TKI224" s="1"/>
      <c r="TKJ224" s="1"/>
      <c r="TKK224" s="1"/>
      <c r="TKL224" s="1"/>
      <c r="TKM224" s="1"/>
      <c r="TKN224" s="1"/>
      <c r="TKO224" s="1"/>
      <c r="TKP224" s="1"/>
      <c r="TKQ224" s="1"/>
      <c r="TKR224" s="1"/>
      <c r="TKS224" s="1"/>
      <c r="TKT224" s="1"/>
      <c r="TKU224" s="1"/>
      <c r="TKV224" s="1"/>
      <c r="TKW224" s="1"/>
      <c r="TKX224" s="1"/>
      <c r="TKY224" s="1"/>
      <c r="TKZ224" s="1"/>
      <c r="TLA224" s="1"/>
      <c r="TLB224" s="1"/>
      <c r="TLC224" s="1"/>
      <c r="TLD224" s="1"/>
      <c r="TLE224" s="1"/>
      <c r="TLF224" s="1"/>
      <c r="TLG224" s="1"/>
      <c r="TLH224" s="1"/>
      <c r="TLI224" s="1"/>
      <c r="TLJ224" s="1"/>
      <c r="TLK224" s="1"/>
      <c r="TLL224" s="1"/>
      <c r="TLM224" s="1"/>
      <c r="TLN224" s="1"/>
      <c r="TLO224" s="1"/>
      <c r="TLP224" s="1"/>
      <c r="TLQ224" s="1"/>
      <c r="TLR224" s="1"/>
      <c r="TLS224" s="1"/>
      <c r="TLT224" s="1"/>
      <c r="TLU224" s="1"/>
      <c r="TLV224" s="1"/>
      <c r="TLW224" s="1"/>
      <c r="TLX224" s="1"/>
      <c r="TLY224" s="1"/>
      <c r="TLZ224" s="1"/>
      <c r="TMA224" s="1"/>
      <c r="TMB224" s="1"/>
      <c r="TMC224" s="1"/>
      <c r="TMD224" s="1"/>
      <c r="TME224" s="1"/>
      <c r="TMF224" s="1"/>
      <c r="TMG224" s="1"/>
      <c r="TMH224" s="1"/>
      <c r="TMI224" s="1"/>
      <c r="TMJ224" s="1"/>
      <c r="TMK224" s="1"/>
      <c r="TML224" s="1"/>
      <c r="TMM224" s="1"/>
      <c r="TMN224" s="1"/>
      <c r="TMO224" s="1"/>
      <c r="TMP224" s="1"/>
      <c r="TMQ224" s="1"/>
      <c r="TMR224" s="1"/>
      <c r="TMS224" s="1"/>
      <c r="TMT224" s="1"/>
      <c r="TMU224" s="1"/>
      <c r="TMV224" s="1"/>
      <c r="TMW224" s="1"/>
      <c r="TMX224" s="1"/>
      <c r="TMY224" s="1"/>
      <c r="TMZ224" s="1"/>
      <c r="TNA224" s="1"/>
      <c r="TNB224" s="1"/>
      <c r="TNC224" s="1"/>
      <c r="TND224" s="1"/>
      <c r="TNE224" s="1"/>
      <c r="TNF224" s="1"/>
      <c r="TNG224" s="1"/>
      <c r="TNH224" s="1"/>
      <c r="TNI224" s="1"/>
      <c r="TNJ224" s="1"/>
      <c r="TNK224" s="1"/>
      <c r="TNL224" s="1"/>
      <c r="TNM224" s="1"/>
      <c r="TNN224" s="1"/>
      <c r="TNO224" s="1"/>
      <c r="TNP224" s="1"/>
      <c r="TNQ224" s="1"/>
      <c r="TNR224" s="1"/>
      <c r="TNS224" s="1"/>
      <c r="TNT224" s="1"/>
      <c r="TNU224" s="1"/>
      <c r="TNV224" s="1"/>
      <c r="TNW224" s="1"/>
      <c r="TNX224" s="1"/>
      <c r="TNY224" s="1"/>
      <c r="TNZ224" s="1"/>
      <c r="TOA224" s="1"/>
      <c r="TOB224" s="1"/>
      <c r="TOC224" s="1"/>
      <c r="TOD224" s="1"/>
      <c r="TOE224" s="1"/>
      <c r="TOF224" s="1"/>
      <c r="TOG224" s="1"/>
      <c r="TOH224" s="1"/>
      <c r="TOI224" s="1"/>
      <c r="TOJ224" s="1"/>
      <c r="TOK224" s="1"/>
      <c r="TOL224" s="1"/>
      <c r="TOM224" s="1"/>
      <c r="TON224" s="1"/>
      <c r="TOO224" s="1"/>
      <c r="TOP224" s="1"/>
      <c r="TOQ224" s="1"/>
      <c r="TOR224" s="1"/>
      <c r="TOS224" s="1"/>
      <c r="TOT224" s="1"/>
      <c r="TOU224" s="1"/>
      <c r="TOV224" s="1"/>
      <c r="TOW224" s="1"/>
      <c r="TOX224" s="1"/>
      <c r="TOY224" s="1"/>
      <c r="TOZ224" s="1"/>
      <c r="TPA224" s="1"/>
      <c r="TPB224" s="1"/>
      <c r="TPC224" s="1"/>
      <c r="TPD224" s="1"/>
      <c r="TPE224" s="1"/>
      <c r="TPF224" s="1"/>
      <c r="TPG224" s="1"/>
      <c r="TPH224" s="1"/>
      <c r="TPI224" s="1"/>
      <c r="TPJ224" s="1"/>
      <c r="TPK224" s="1"/>
      <c r="TPL224" s="1"/>
      <c r="TPM224" s="1"/>
      <c r="TPN224" s="1"/>
      <c r="TPO224" s="1"/>
      <c r="TPP224" s="1"/>
      <c r="TPQ224" s="1"/>
      <c r="TPR224" s="1"/>
      <c r="TPS224" s="1"/>
      <c r="TPT224" s="1"/>
      <c r="TPU224" s="1"/>
      <c r="TPV224" s="1"/>
      <c r="TPW224" s="1"/>
      <c r="TPX224" s="1"/>
      <c r="TPY224" s="1"/>
      <c r="TPZ224" s="1"/>
      <c r="TQA224" s="1"/>
      <c r="TQB224" s="1"/>
      <c r="TQC224" s="1"/>
      <c r="TQD224" s="1"/>
      <c r="TQE224" s="1"/>
      <c r="TQF224" s="1"/>
      <c r="TQG224" s="1"/>
      <c r="TQH224" s="1"/>
      <c r="TQI224" s="1"/>
      <c r="TQJ224" s="1"/>
      <c r="TQK224" s="1"/>
      <c r="TQL224" s="1"/>
      <c r="TQM224" s="1"/>
      <c r="TQN224" s="1"/>
      <c r="TQO224" s="1"/>
      <c r="TQP224" s="1"/>
      <c r="TQQ224" s="1"/>
      <c r="TQR224" s="1"/>
      <c r="TQS224" s="1"/>
      <c r="TQT224" s="1"/>
      <c r="TQU224" s="1"/>
      <c r="TQV224" s="1"/>
      <c r="TQW224" s="1"/>
      <c r="TQX224" s="1"/>
      <c r="TQY224" s="1"/>
      <c r="TQZ224" s="1"/>
      <c r="TRA224" s="1"/>
      <c r="TRB224" s="1"/>
      <c r="TRC224" s="1"/>
      <c r="TRD224" s="1"/>
      <c r="TRE224" s="1"/>
      <c r="TRF224" s="1"/>
      <c r="TRG224" s="1"/>
      <c r="TRH224" s="1"/>
      <c r="TRI224" s="1"/>
      <c r="TRJ224" s="1"/>
      <c r="TRK224" s="1"/>
      <c r="TRL224" s="1"/>
      <c r="TRM224" s="1"/>
      <c r="TRN224" s="1"/>
      <c r="TRO224" s="1"/>
      <c r="TRP224" s="1"/>
      <c r="TRQ224" s="1"/>
      <c r="TRR224" s="1"/>
      <c r="TRS224" s="1"/>
      <c r="TRT224" s="1"/>
      <c r="TRU224" s="1"/>
      <c r="TRV224" s="1"/>
      <c r="TRW224" s="1"/>
      <c r="TRX224" s="1"/>
      <c r="TRY224" s="1"/>
      <c r="TRZ224" s="1"/>
      <c r="TSA224" s="1"/>
      <c r="TSB224" s="1"/>
      <c r="TSC224" s="1"/>
      <c r="TSD224" s="1"/>
      <c r="TSE224" s="1"/>
      <c r="TSF224" s="1"/>
      <c r="TSG224" s="1"/>
      <c r="TSH224" s="1"/>
      <c r="TSI224" s="1"/>
      <c r="TSJ224" s="1"/>
      <c r="TSK224" s="1"/>
      <c r="TSL224" s="1"/>
      <c r="TSM224" s="1"/>
      <c r="TSN224" s="1"/>
      <c r="TSO224" s="1"/>
      <c r="TSP224" s="1"/>
      <c r="TSQ224" s="1"/>
      <c r="TSR224" s="1"/>
      <c r="TSS224" s="1"/>
      <c r="TST224" s="1"/>
      <c r="TSU224" s="1"/>
      <c r="TSV224" s="1"/>
      <c r="TSW224" s="1"/>
      <c r="TSX224" s="1"/>
      <c r="TSY224" s="1"/>
      <c r="TSZ224" s="1"/>
      <c r="TTA224" s="1"/>
      <c r="TTB224" s="1"/>
      <c r="TTC224" s="1"/>
      <c r="TTD224" s="1"/>
      <c r="TTE224" s="1"/>
      <c r="TTF224" s="1"/>
      <c r="TTG224" s="1"/>
      <c r="TTH224" s="1"/>
      <c r="TTI224" s="1"/>
      <c r="TTJ224" s="1"/>
      <c r="TTK224" s="1"/>
      <c r="TTL224" s="1"/>
      <c r="TTM224" s="1"/>
      <c r="TTN224" s="1"/>
      <c r="TTO224" s="1"/>
      <c r="TTP224" s="1"/>
      <c r="TTQ224" s="1"/>
      <c r="TTR224" s="1"/>
      <c r="TTS224" s="1"/>
      <c r="TTT224" s="1"/>
      <c r="TTU224" s="1"/>
      <c r="TTV224" s="1"/>
      <c r="TTW224" s="1"/>
      <c r="TTX224" s="1"/>
      <c r="TTY224" s="1"/>
      <c r="TTZ224" s="1"/>
      <c r="TUA224" s="1"/>
      <c r="TUB224" s="1"/>
      <c r="TUC224" s="1"/>
      <c r="TUD224" s="1"/>
      <c r="TUE224" s="1"/>
      <c r="TUF224" s="1"/>
      <c r="TUG224" s="1"/>
      <c r="TUH224" s="1"/>
      <c r="TUI224" s="1"/>
      <c r="TUJ224" s="1"/>
      <c r="TUK224" s="1"/>
      <c r="TUL224" s="1"/>
      <c r="TUM224" s="1"/>
      <c r="TUN224" s="1"/>
      <c r="TUO224" s="1"/>
      <c r="TUP224" s="1"/>
      <c r="TUQ224" s="1"/>
      <c r="TUR224" s="1"/>
      <c r="TUS224" s="1"/>
      <c r="TUT224" s="1"/>
      <c r="TUU224" s="1"/>
      <c r="TUV224" s="1"/>
      <c r="TUW224" s="1"/>
      <c r="TUX224" s="1"/>
      <c r="TUY224" s="1"/>
      <c r="TUZ224" s="1"/>
      <c r="TVA224" s="1"/>
      <c r="TVB224" s="1"/>
      <c r="TVC224" s="1"/>
      <c r="TVD224" s="1"/>
      <c r="TVE224" s="1"/>
      <c r="TVF224" s="1"/>
      <c r="TVG224" s="1"/>
      <c r="TVH224" s="1"/>
      <c r="TVI224" s="1"/>
      <c r="TVJ224" s="1"/>
      <c r="TVK224" s="1"/>
      <c r="TVL224" s="1"/>
      <c r="TVM224" s="1"/>
      <c r="TVN224" s="1"/>
      <c r="TVO224" s="1"/>
      <c r="TVP224" s="1"/>
      <c r="TVQ224" s="1"/>
      <c r="TVR224" s="1"/>
      <c r="TVS224" s="1"/>
      <c r="TVT224" s="1"/>
      <c r="TVU224" s="1"/>
      <c r="TVV224" s="1"/>
      <c r="TVW224" s="1"/>
      <c r="TVX224" s="1"/>
      <c r="TVY224" s="1"/>
      <c r="TVZ224" s="1"/>
      <c r="TWA224" s="1"/>
      <c r="TWB224" s="1"/>
      <c r="TWC224" s="1"/>
      <c r="TWD224" s="1"/>
      <c r="TWE224" s="1"/>
      <c r="TWF224" s="1"/>
      <c r="TWG224" s="1"/>
      <c r="TWH224" s="1"/>
      <c r="TWI224" s="1"/>
      <c r="TWJ224" s="1"/>
      <c r="TWK224" s="1"/>
      <c r="TWL224" s="1"/>
      <c r="TWM224" s="1"/>
      <c r="TWN224" s="1"/>
      <c r="TWO224" s="1"/>
      <c r="TWP224" s="1"/>
      <c r="TWQ224" s="1"/>
      <c r="TWR224" s="1"/>
      <c r="TWS224" s="1"/>
      <c r="TWT224" s="1"/>
      <c r="TWU224" s="1"/>
      <c r="TWV224" s="1"/>
      <c r="TWW224" s="1"/>
      <c r="TWX224" s="1"/>
      <c r="TWY224" s="1"/>
      <c r="TWZ224" s="1"/>
      <c r="TXA224" s="1"/>
      <c r="TXB224" s="1"/>
      <c r="TXC224" s="1"/>
      <c r="TXD224" s="1"/>
      <c r="TXE224" s="1"/>
      <c r="TXF224" s="1"/>
      <c r="TXG224" s="1"/>
      <c r="TXH224" s="1"/>
      <c r="TXI224" s="1"/>
      <c r="TXJ224" s="1"/>
      <c r="TXK224" s="1"/>
      <c r="TXL224" s="1"/>
      <c r="TXM224" s="1"/>
      <c r="TXN224" s="1"/>
      <c r="TXO224" s="1"/>
      <c r="TXP224" s="1"/>
      <c r="TXQ224" s="1"/>
      <c r="TXR224" s="1"/>
      <c r="TXS224" s="1"/>
      <c r="TXT224" s="1"/>
      <c r="TXU224" s="1"/>
      <c r="TXV224" s="1"/>
      <c r="TXW224" s="1"/>
      <c r="TXX224" s="1"/>
      <c r="TXY224" s="1"/>
      <c r="TXZ224" s="1"/>
      <c r="TYA224" s="1"/>
      <c r="TYB224" s="1"/>
      <c r="TYC224" s="1"/>
      <c r="TYD224" s="1"/>
      <c r="TYE224" s="1"/>
      <c r="TYF224" s="1"/>
      <c r="TYG224" s="1"/>
      <c r="TYH224" s="1"/>
      <c r="TYI224" s="1"/>
      <c r="TYJ224" s="1"/>
      <c r="TYK224" s="1"/>
      <c r="TYL224" s="1"/>
      <c r="TYM224" s="1"/>
      <c r="TYN224" s="1"/>
      <c r="TYO224" s="1"/>
      <c r="TYP224" s="1"/>
      <c r="TYQ224" s="1"/>
      <c r="TYR224" s="1"/>
      <c r="TYS224" s="1"/>
      <c r="TYT224" s="1"/>
      <c r="TYU224" s="1"/>
      <c r="TYV224" s="1"/>
      <c r="TYW224" s="1"/>
      <c r="TYX224" s="1"/>
      <c r="TYY224" s="1"/>
      <c r="TYZ224" s="1"/>
      <c r="TZA224" s="1"/>
      <c r="TZB224" s="1"/>
      <c r="TZC224" s="1"/>
      <c r="TZD224" s="1"/>
      <c r="TZE224" s="1"/>
      <c r="TZF224" s="1"/>
      <c r="TZG224" s="1"/>
      <c r="TZH224" s="1"/>
      <c r="TZI224" s="1"/>
      <c r="TZJ224" s="1"/>
      <c r="TZK224" s="1"/>
      <c r="TZL224" s="1"/>
      <c r="TZM224" s="1"/>
      <c r="TZN224" s="1"/>
      <c r="TZO224" s="1"/>
      <c r="TZP224" s="1"/>
      <c r="TZQ224" s="1"/>
      <c r="TZR224" s="1"/>
      <c r="TZS224" s="1"/>
      <c r="TZT224" s="1"/>
      <c r="TZU224" s="1"/>
      <c r="TZV224" s="1"/>
      <c r="TZW224" s="1"/>
      <c r="TZX224" s="1"/>
      <c r="TZY224" s="1"/>
      <c r="TZZ224" s="1"/>
      <c r="UAA224" s="1"/>
      <c r="UAB224" s="1"/>
      <c r="UAC224" s="1"/>
      <c r="UAD224" s="1"/>
      <c r="UAE224" s="1"/>
      <c r="UAF224" s="1"/>
      <c r="UAG224" s="1"/>
      <c r="UAH224" s="1"/>
      <c r="UAI224" s="1"/>
      <c r="UAJ224" s="1"/>
      <c r="UAK224" s="1"/>
      <c r="UAL224" s="1"/>
      <c r="UAM224" s="1"/>
      <c r="UAN224" s="1"/>
      <c r="UAO224" s="1"/>
      <c r="UAP224" s="1"/>
      <c r="UAQ224" s="1"/>
      <c r="UAR224" s="1"/>
      <c r="UAS224" s="1"/>
      <c r="UAT224" s="1"/>
      <c r="UAU224" s="1"/>
      <c r="UAV224" s="1"/>
      <c r="UAW224" s="1"/>
      <c r="UAX224" s="1"/>
      <c r="UAY224" s="1"/>
      <c r="UAZ224" s="1"/>
      <c r="UBA224" s="1"/>
      <c r="UBB224" s="1"/>
      <c r="UBC224" s="1"/>
      <c r="UBD224" s="1"/>
      <c r="UBE224" s="1"/>
      <c r="UBF224" s="1"/>
      <c r="UBG224" s="1"/>
      <c r="UBH224" s="1"/>
      <c r="UBI224" s="1"/>
      <c r="UBJ224" s="1"/>
      <c r="UBK224" s="1"/>
      <c r="UBL224" s="1"/>
      <c r="UBM224" s="1"/>
      <c r="UBN224" s="1"/>
      <c r="UBO224" s="1"/>
      <c r="UBP224" s="1"/>
      <c r="UBQ224" s="1"/>
      <c r="UBR224" s="1"/>
      <c r="UBS224" s="1"/>
      <c r="UBT224" s="1"/>
      <c r="UBU224" s="1"/>
      <c r="UBV224" s="1"/>
      <c r="UBW224" s="1"/>
      <c r="UBX224" s="1"/>
      <c r="UBY224" s="1"/>
      <c r="UBZ224" s="1"/>
      <c r="UCA224" s="1"/>
      <c r="UCB224" s="1"/>
      <c r="UCC224" s="1"/>
      <c r="UCD224" s="1"/>
      <c r="UCE224" s="1"/>
      <c r="UCF224" s="1"/>
      <c r="UCG224" s="1"/>
      <c r="UCH224" s="1"/>
      <c r="UCI224" s="1"/>
      <c r="UCJ224" s="1"/>
      <c r="UCK224" s="1"/>
      <c r="UCL224" s="1"/>
      <c r="UCM224" s="1"/>
      <c r="UCN224" s="1"/>
      <c r="UCO224" s="1"/>
      <c r="UCP224" s="1"/>
      <c r="UCQ224" s="1"/>
      <c r="UCR224" s="1"/>
      <c r="UCS224" s="1"/>
      <c r="UCT224" s="1"/>
      <c r="UCU224" s="1"/>
      <c r="UCV224" s="1"/>
      <c r="UCW224" s="1"/>
      <c r="UCX224" s="1"/>
      <c r="UCY224" s="1"/>
      <c r="UCZ224" s="1"/>
      <c r="UDA224" s="1"/>
      <c r="UDB224" s="1"/>
      <c r="UDC224" s="1"/>
      <c r="UDD224" s="1"/>
      <c r="UDE224" s="1"/>
      <c r="UDF224" s="1"/>
      <c r="UDG224" s="1"/>
      <c r="UDH224" s="1"/>
      <c r="UDI224" s="1"/>
      <c r="UDJ224" s="1"/>
      <c r="UDK224" s="1"/>
      <c r="UDL224" s="1"/>
      <c r="UDM224" s="1"/>
      <c r="UDN224" s="1"/>
      <c r="UDO224" s="1"/>
      <c r="UDP224" s="1"/>
      <c r="UDQ224" s="1"/>
      <c r="UDR224" s="1"/>
      <c r="UDS224" s="1"/>
      <c r="UDT224" s="1"/>
      <c r="UDU224" s="1"/>
      <c r="UDV224" s="1"/>
      <c r="UDW224" s="1"/>
      <c r="UDX224" s="1"/>
      <c r="UDY224" s="1"/>
      <c r="UDZ224" s="1"/>
      <c r="UEA224" s="1"/>
      <c r="UEB224" s="1"/>
      <c r="UEC224" s="1"/>
      <c r="UED224" s="1"/>
      <c r="UEE224" s="1"/>
      <c r="UEF224" s="1"/>
      <c r="UEG224" s="1"/>
      <c r="UEH224" s="1"/>
      <c r="UEI224" s="1"/>
      <c r="UEJ224" s="1"/>
      <c r="UEK224" s="1"/>
      <c r="UEL224" s="1"/>
      <c r="UEM224" s="1"/>
      <c r="UEN224" s="1"/>
      <c r="UEO224" s="1"/>
      <c r="UEP224" s="1"/>
      <c r="UEQ224" s="1"/>
      <c r="UER224" s="1"/>
      <c r="UES224" s="1"/>
      <c r="UET224" s="1"/>
      <c r="UEU224" s="1"/>
      <c r="UEV224" s="1"/>
      <c r="UEW224" s="1"/>
      <c r="UEX224" s="1"/>
      <c r="UEY224" s="1"/>
      <c r="UEZ224" s="1"/>
      <c r="UFA224" s="1"/>
      <c r="UFB224" s="1"/>
      <c r="UFC224" s="1"/>
      <c r="UFD224" s="1"/>
      <c r="UFE224" s="1"/>
      <c r="UFF224" s="1"/>
      <c r="UFG224" s="1"/>
      <c r="UFH224" s="1"/>
      <c r="UFI224" s="1"/>
      <c r="UFJ224" s="1"/>
      <c r="UFK224" s="1"/>
      <c r="UFL224" s="1"/>
      <c r="UFM224" s="1"/>
      <c r="UFN224" s="1"/>
      <c r="UFO224" s="1"/>
      <c r="UFP224" s="1"/>
      <c r="UFQ224" s="1"/>
      <c r="UFR224" s="1"/>
      <c r="UFS224" s="1"/>
      <c r="UFT224" s="1"/>
      <c r="UFU224" s="1"/>
      <c r="UFV224" s="1"/>
      <c r="UFW224" s="1"/>
      <c r="UFX224" s="1"/>
      <c r="UFY224" s="1"/>
      <c r="UFZ224" s="1"/>
      <c r="UGA224" s="1"/>
      <c r="UGB224" s="1"/>
      <c r="UGC224" s="1"/>
      <c r="UGD224" s="1"/>
      <c r="UGE224" s="1"/>
      <c r="UGF224" s="1"/>
      <c r="UGG224" s="1"/>
      <c r="UGH224" s="1"/>
      <c r="UGI224" s="1"/>
      <c r="UGJ224" s="1"/>
      <c r="UGK224" s="1"/>
      <c r="UGL224" s="1"/>
      <c r="UGM224" s="1"/>
      <c r="UGN224" s="1"/>
      <c r="UGO224" s="1"/>
      <c r="UGP224" s="1"/>
      <c r="UGQ224" s="1"/>
      <c r="UGR224" s="1"/>
      <c r="UGS224" s="1"/>
      <c r="UGT224" s="1"/>
      <c r="UGU224" s="1"/>
      <c r="UGV224" s="1"/>
      <c r="UGW224" s="1"/>
      <c r="UGX224" s="1"/>
      <c r="UGY224" s="1"/>
      <c r="UGZ224" s="1"/>
      <c r="UHA224" s="1"/>
      <c r="UHB224" s="1"/>
      <c r="UHC224" s="1"/>
      <c r="UHD224" s="1"/>
      <c r="UHE224" s="1"/>
      <c r="UHF224" s="1"/>
      <c r="UHG224" s="1"/>
      <c r="UHH224" s="1"/>
      <c r="UHI224" s="1"/>
      <c r="UHJ224" s="1"/>
      <c r="UHK224" s="1"/>
      <c r="UHL224" s="1"/>
      <c r="UHM224" s="1"/>
      <c r="UHN224" s="1"/>
      <c r="UHO224" s="1"/>
      <c r="UHP224" s="1"/>
      <c r="UHQ224" s="1"/>
      <c r="UHR224" s="1"/>
      <c r="UHS224" s="1"/>
      <c r="UHT224" s="1"/>
      <c r="UHU224" s="1"/>
      <c r="UHV224" s="1"/>
      <c r="UHW224" s="1"/>
      <c r="UHX224" s="1"/>
      <c r="UHY224" s="1"/>
      <c r="UHZ224" s="1"/>
      <c r="UIA224" s="1"/>
      <c r="UIB224" s="1"/>
      <c r="UIC224" s="1"/>
      <c r="UID224" s="1"/>
      <c r="UIE224" s="1"/>
      <c r="UIF224" s="1"/>
      <c r="UIG224" s="1"/>
      <c r="UIH224" s="1"/>
      <c r="UII224" s="1"/>
      <c r="UIJ224" s="1"/>
      <c r="UIK224" s="1"/>
      <c r="UIL224" s="1"/>
      <c r="UIM224" s="1"/>
      <c r="UIN224" s="1"/>
      <c r="UIO224" s="1"/>
      <c r="UIP224" s="1"/>
      <c r="UIQ224" s="1"/>
      <c r="UIR224" s="1"/>
      <c r="UIS224" s="1"/>
      <c r="UIT224" s="1"/>
      <c r="UIU224" s="1"/>
      <c r="UIV224" s="1"/>
      <c r="UIW224" s="1"/>
      <c r="UIX224" s="1"/>
      <c r="UIY224" s="1"/>
      <c r="UIZ224" s="1"/>
      <c r="UJA224" s="1"/>
      <c r="UJB224" s="1"/>
      <c r="UJC224" s="1"/>
      <c r="UJD224" s="1"/>
      <c r="UJE224" s="1"/>
      <c r="UJF224" s="1"/>
      <c r="UJG224" s="1"/>
      <c r="UJH224" s="1"/>
      <c r="UJI224" s="1"/>
      <c r="UJJ224" s="1"/>
      <c r="UJK224" s="1"/>
      <c r="UJL224" s="1"/>
      <c r="UJM224" s="1"/>
      <c r="UJN224" s="1"/>
      <c r="UJO224" s="1"/>
      <c r="UJP224" s="1"/>
      <c r="UJQ224" s="1"/>
      <c r="UJR224" s="1"/>
      <c r="UJS224" s="1"/>
      <c r="UJT224" s="1"/>
      <c r="UJU224" s="1"/>
      <c r="UJV224" s="1"/>
      <c r="UJW224" s="1"/>
      <c r="UJX224" s="1"/>
      <c r="UJY224" s="1"/>
      <c r="UJZ224" s="1"/>
      <c r="UKA224" s="1"/>
      <c r="UKB224" s="1"/>
      <c r="UKC224" s="1"/>
      <c r="UKD224" s="1"/>
      <c r="UKE224" s="1"/>
      <c r="UKF224" s="1"/>
      <c r="UKG224" s="1"/>
      <c r="UKH224" s="1"/>
      <c r="UKI224" s="1"/>
      <c r="UKJ224" s="1"/>
      <c r="UKK224" s="1"/>
      <c r="UKL224" s="1"/>
      <c r="UKM224" s="1"/>
      <c r="UKN224" s="1"/>
      <c r="UKO224" s="1"/>
      <c r="UKP224" s="1"/>
      <c r="UKQ224" s="1"/>
      <c r="UKR224" s="1"/>
      <c r="UKS224" s="1"/>
      <c r="UKT224" s="1"/>
      <c r="UKU224" s="1"/>
      <c r="UKV224" s="1"/>
      <c r="UKW224" s="1"/>
      <c r="UKX224" s="1"/>
      <c r="UKY224" s="1"/>
      <c r="UKZ224" s="1"/>
      <c r="ULA224" s="1"/>
      <c r="ULB224" s="1"/>
      <c r="ULC224" s="1"/>
      <c r="ULD224" s="1"/>
      <c r="ULE224" s="1"/>
      <c r="ULF224" s="1"/>
      <c r="ULG224" s="1"/>
      <c r="ULH224" s="1"/>
      <c r="ULI224" s="1"/>
      <c r="ULJ224" s="1"/>
      <c r="ULK224" s="1"/>
      <c r="ULL224" s="1"/>
      <c r="ULM224" s="1"/>
      <c r="ULN224" s="1"/>
      <c r="ULO224" s="1"/>
      <c r="ULP224" s="1"/>
      <c r="ULQ224" s="1"/>
      <c r="ULR224" s="1"/>
      <c r="ULS224" s="1"/>
      <c r="ULT224" s="1"/>
      <c r="ULU224" s="1"/>
      <c r="ULV224" s="1"/>
      <c r="ULW224" s="1"/>
      <c r="ULX224" s="1"/>
      <c r="ULY224" s="1"/>
      <c r="ULZ224" s="1"/>
      <c r="UMA224" s="1"/>
      <c r="UMB224" s="1"/>
      <c r="UMC224" s="1"/>
      <c r="UMD224" s="1"/>
      <c r="UME224" s="1"/>
      <c r="UMF224" s="1"/>
      <c r="UMG224" s="1"/>
      <c r="UMH224" s="1"/>
      <c r="UMI224" s="1"/>
      <c r="UMJ224" s="1"/>
      <c r="UMK224" s="1"/>
      <c r="UML224" s="1"/>
      <c r="UMM224" s="1"/>
      <c r="UMN224" s="1"/>
      <c r="UMO224" s="1"/>
      <c r="UMP224" s="1"/>
      <c r="UMQ224" s="1"/>
      <c r="UMR224" s="1"/>
      <c r="UMS224" s="1"/>
      <c r="UMT224" s="1"/>
      <c r="UMU224" s="1"/>
      <c r="UMV224" s="1"/>
      <c r="UMW224" s="1"/>
      <c r="UMX224" s="1"/>
      <c r="UMY224" s="1"/>
      <c r="UMZ224" s="1"/>
      <c r="UNA224" s="1"/>
      <c r="UNB224" s="1"/>
      <c r="UNC224" s="1"/>
      <c r="UND224" s="1"/>
      <c r="UNE224" s="1"/>
      <c r="UNF224" s="1"/>
      <c r="UNG224" s="1"/>
      <c r="UNH224" s="1"/>
      <c r="UNI224" s="1"/>
      <c r="UNJ224" s="1"/>
      <c r="UNK224" s="1"/>
      <c r="UNL224" s="1"/>
      <c r="UNM224" s="1"/>
      <c r="UNN224" s="1"/>
      <c r="UNO224" s="1"/>
      <c r="UNP224" s="1"/>
      <c r="UNQ224" s="1"/>
      <c r="UNR224" s="1"/>
      <c r="UNS224" s="1"/>
      <c r="UNT224" s="1"/>
      <c r="UNU224" s="1"/>
      <c r="UNV224" s="1"/>
      <c r="UNW224" s="1"/>
      <c r="UNX224" s="1"/>
      <c r="UNY224" s="1"/>
      <c r="UNZ224" s="1"/>
      <c r="UOA224" s="1"/>
      <c r="UOB224" s="1"/>
      <c r="UOC224" s="1"/>
      <c r="UOD224" s="1"/>
      <c r="UOE224" s="1"/>
      <c r="UOF224" s="1"/>
      <c r="UOG224" s="1"/>
      <c r="UOH224" s="1"/>
      <c r="UOI224" s="1"/>
      <c r="UOJ224" s="1"/>
      <c r="UOK224" s="1"/>
      <c r="UOL224" s="1"/>
      <c r="UOM224" s="1"/>
      <c r="UON224" s="1"/>
      <c r="UOO224" s="1"/>
      <c r="UOP224" s="1"/>
      <c r="UOQ224" s="1"/>
      <c r="UOR224" s="1"/>
      <c r="UOS224" s="1"/>
      <c r="UOT224" s="1"/>
      <c r="UOU224" s="1"/>
      <c r="UOV224" s="1"/>
      <c r="UOW224" s="1"/>
      <c r="UOX224" s="1"/>
      <c r="UOY224" s="1"/>
      <c r="UOZ224" s="1"/>
      <c r="UPA224" s="1"/>
      <c r="UPB224" s="1"/>
      <c r="UPC224" s="1"/>
      <c r="UPD224" s="1"/>
      <c r="UPE224" s="1"/>
      <c r="UPF224" s="1"/>
      <c r="UPG224" s="1"/>
      <c r="UPH224" s="1"/>
      <c r="UPI224" s="1"/>
      <c r="UPJ224" s="1"/>
      <c r="UPK224" s="1"/>
      <c r="UPL224" s="1"/>
      <c r="UPM224" s="1"/>
      <c r="UPN224" s="1"/>
      <c r="UPO224" s="1"/>
      <c r="UPP224" s="1"/>
      <c r="UPQ224" s="1"/>
      <c r="UPR224" s="1"/>
      <c r="UPS224" s="1"/>
      <c r="UPT224" s="1"/>
      <c r="UPU224" s="1"/>
      <c r="UPV224" s="1"/>
      <c r="UPW224" s="1"/>
      <c r="UPX224" s="1"/>
      <c r="UPY224" s="1"/>
      <c r="UPZ224" s="1"/>
      <c r="UQA224" s="1"/>
      <c r="UQB224" s="1"/>
      <c r="UQC224" s="1"/>
      <c r="UQD224" s="1"/>
      <c r="UQE224" s="1"/>
      <c r="UQF224" s="1"/>
      <c r="UQG224" s="1"/>
      <c r="UQH224" s="1"/>
      <c r="UQI224" s="1"/>
      <c r="UQJ224" s="1"/>
      <c r="UQK224" s="1"/>
      <c r="UQL224" s="1"/>
      <c r="UQM224" s="1"/>
      <c r="UQN224" s="1"/>
      <c r="UQO224" s="1"/>
      <c r="UQP224" s="1"/>
      <c r="UQQ224" s="1"/>
      <c r="UQR224" s="1"/>
      <c r="UQS224" s="1"/>
      <c r="UQT224" s="1"/>
      <c r="UQU224" s="1"/>
      <c r="UQV224" s="1"/>
      <c r="UQW224" s="1"/>
      <c r="UQX224" s="1"/>
      <c r="UQY224" s="1"/>
      <c r="UQZ224" s="1"/>
      <c r="URA224" s="1"/>
      <c r="URB224" s="1"/>
      <c r="URC224" s="1"/>
      <c r="URD224" s="1"/>
      <c r="URE224" s="1"/>
      <c r="URF224" s="1"/>
      <c r="URG224" s="1"/>
      <c r="URH224" s="1"/>
      <c r="URI224" s="1"/>
      <c r="URJ224" s="1"/>
      <c r="URK224" s="1"/>
      <c r="URL224" s="1"/>
      <c r="URM224" s="1"/>
      <c r="URN224" s="1"/>
      <c r="URO224" s="1"/>
      <c r="URP224" s="1"/>
      <c r="URQ224" s="1"/>
      <c r="URR224" s="1"/>
      <c r="URS224" s="1"/>
      <c r="URT224" s="1"/>
      <c r="URU224" s="1"/>
      <c r="URV224" s="1"/>
      <c r="URW224" s="1"/>
      <c r="URX224" s="1"/>
      <c r="URY224" s="1"/>
      <c r="URZ224" s="1"/>
      <c r="USA224" s="1"/>
      <c r="USB224" s="1"/>
      <c r="USC224" s="1"/>
      <c r="USD224" s="1"/>
      <c r="USE224" s="1"/>
      <c r="USF224" s="1"/>
      <c r="USG224" s="1"/>
      <c r="USH224" s="1"/>
      <c r="USI224" s="1"/>
      <c r="USJ224" s="1"/>
      <c r="USK224" s="1"/>
      <c r="USL224" s="1"/>
      <c r="USM224" s="1"/>
      <c r="USN224" s="1"/>
      <c r="USO224" s="1"/>
      <c r="USP224" s="1"/>
      <c r="USQ224" s="1"/>
      <c r="USR224" s="1"/>
      <c r="USS224" s="1"/>
      <c r="UST224" s="1"/>
      <c r="USU224" s="1"/>
      <c r="USV224" s="1"/>
      <c r="USW224" s="1"/>
      <c r="USX224" s="1"/>
      <c r="USY224" s="1"/>
      <c r="USZ224" s="1"/>
      <c r="UTA224" s="1"/>
      <c r="UTB224" s="1"/>
      <c r="UTC224" s="1"/>
      <c r="UTD224" s="1"/>
      <c r="UTE224" s="1"/>
      <c r="UTF224" s="1"/>
      <c r="UTG224" s="1"/>
      <c r="UTH224" s="1"/>
      <c r="UTI224" s="1"/>
      <c r="UTJ224" s="1"/>
      <c r="UTK224" s="1"/>
      <c r="UTL224" s="1"/>
      <c r="UTM224" s="1"/>
      <c r="UTN224" s="1"/>
      <c r="UTO224" s="1"/>
      <c r="UTP224" s="1"/>
      <c r="UTQ224" s="1"/>
      <c r="UTR224" s="1"/>
      <c r="UTS224" s="1"/>
      <c r="UTT224" s="1"/>
      <c r="UTU224" s="1"/>
      <c r="UTV224" s="1"/>
      <c r="UTW224" s="1"/>
      <c r="UTX224" s="1"/>
      <c r="UTY224" s="1"/>
      <c r="UTZ224" s="1"/>
      <c r="UUA224" s="1"/>
      <c r="UUB224" s="1"/>
      <c r="UUC224" s="1"/>
      <c r="UUD224" s="1"/>
      <c r="UUE224" s="1"/>
      <c r="UUF224" s="1"/>
      <c r="UUG224" s="1"/>
      <c r="UUH224" s="1"/>
      <c r="UUI224" s="1"/>
      <c r="UUJ224" s="1"/>
      <c r="UUK224" s="1"/>
      <c r="UUL224" s="1"/>
      <c r="UUM224" s="1"/>
      <c r="UUN224" s="1"/>
      <c r="UUO224" s="1"/>
      <c r="UUP224" s="1"/>
      <c r="UUQ224" s="1"/>
      <c r="UUR224" s="1"/>
      <c r="UUS224" s="1"/>
      <c r="UUT224" s="1"/>
      <c r="UUU224" s="1"/>
      <c r="UUV224" s="1"/>
      <c r="UUW224" s="1"/>
      <c r="UUX224" s="1"/>
      <c r="UUY224" s="1"/>
      <c r="UUZ224" s="1"/>
      <c r="UVA224" s="1"/>
      <c r="UVB224" s="1"/>
      <c r="UVC224" s="1"/>
      <c r="UVD224" s="1"/>
      <c r="UVE224" s="1"/>
      <c r="UVF224" s="1"/>
      <c r="UVG224" s="1"/>
      <c r="UVH224" s="1"/>
      <c r="UVI224" s="1"/>
      <c r="UVJ224" s="1"/>
      <c r="UVK224" s="1"/>
      <c r="UVL224" s="1"/>
      <c r="UVM224" s="1"/>
      <c r="UVN224" s="1"/>
      <c r="UVO224" s="1"/>
      <c r="UVP224" s="1"/>
      <c r="UVQ224" s="1"/>
      <c r="UVR224" s="1"/>
      <c r="UVS224" s="1"/>
      <c r="UVT224" s="1"/>
      <c r="UVU224" s="1"/>
      <c r="UVV224" s="1"/>
      <c r="UVW224" s="1"/>
      <c r="UVX224" s="1"/>
      <c r="UVY224" s="1"/>
      <c r="UVZ224" s="1"/>
      <c r="UWA224" s="1"/>
      <c r="UWB224" s="1"/>
      <c r="UWC224" s="1"/>
      <c r="UWD224" s="1"/>
      <c r="UWE224" s="1"/>
      <c r="UWF224" s="1"/>
      <c r="UWG224" s="1"/>
      <c r="UWH224" s="1"/>
      <c r="UWI224" s="1"/>
      <c r="UWJ224" s="1"/>
      <c r="UWK224" s="1"/>
      <c r="UWL224" s="1"/>
      <c r="UWM224" s="1"/>
      <c r="UWN224" s="1"/>
      <c r="UWO224" s="1"/>
      <c r="UWP224" s="1"/>
      <c r="UWQ224" s="1"/>
      <c r="UWR224" s="1"/>
      <c r="UWS224" s="1"/>
      <c r="UWT224" s="1"/>
      <c r="UWU224" s="1"/>
      <c r="UWV224" s="1"/>
      <c r="UWW224" s="1"/>
      <c r="UWX224" s="1"/>
      <c r="UWY224" s="1"/>
      <c r="UWZ224" s="1"/>
      <c r="UXA224" s="1"/>
      <c r="UXB224" s="1"/>
      <c r="UXC224" s="1"/>
      <c r="UXD224" s="1"/>
      <c r="UXE224" s="1"/>
      <c r="UXF224" s="1"/>
      <c r="UXG224" s="1"/>
      <c r="UXH224" s="1"/>
      <c r="UXI224" s="1"/>
      <c r="UXJ224" s="1"/>
      <c r="UXK224" s="1"/>
      <c r="UXL224" s="1"/>
      <c r="UXM224" s="1"/>
      <c r="UXN224" s="1"/>
      <c r="UXO224" s="1"/>
      <c r="UXP224" s="1"/>
      <c r="UXQ224" s="1"/>
      <c r="UXR224" s="1"/>
      <c r="UXS224" s="1"/>
      <c r="UXT224" s="1"/>
      <c r="UXU224" s="1"/>
      <c r="UXV224" s="1"/>
      <c r="UXW224" s="1"/>
      <c r="UXX224" s="1"/>
      <c r="UXY224" s="1"/>
      <c r="UXZ224" s="1"/>
      <c r="UYA224" s="1"/>
      <c r="UYB224" s="1"/>
      <c r="UYC224" s="1"/>
      <c r="UYD224" s="1"/>
      <c r="UYE224" s="1"/>
      <c r="UYF224" s="1"/>
      <c r="UYG224" s="1"/>
      <c r="UYH224" s="1"/>
      <c r="UYI224" s="1"/>
      <c r="UYJ224" s="1"/>
      <c r="UYK224" s="1"/>
      <c r="UYL224" s="1"/>
      <c r="UYM224" s="1"/>
      <c r="UYN224" s="1"/>
      <c r="UYO224" s="1"/>
      <c r="UYP224" s="1"/>
      <c r="UYQ224" s="1"/>
      <c r="UYR224" s="1"/>
      <c r="UYS224" s="1"/>
      <c r="UYT224" s="1"/>
      <c r="UYU224" s="1"/>
      <c r="UYV224" s="1"/>
      <c r="UYW224" s="1"/>
      <c r="UYX224" s="1"/>
      <c r="UYY224" s="1"/>
      <c r="UYZ224" s="1"/>
      <c r="UZA224" s="1"/>
      <c r="UZB224" s="1"/>
      <c r="UZC224" s="1"/>
      <c r="UZD224" s="1"/>
      <c r="UZE224" s="1"/>
      <c r="UZF224" s="1"/>
      <c r="UZG224" s="1"/>
      <c r="UZH224" s="1"/>
      <c r="UZI224" s="1"/>
      <c r="UZJ224" s="1"/>
      <c r="UZK224" s="1"/>
      <c r="UZL224" s="1"/>
      <c r="UZM224" s="1"/>
      <c r="UZN224" s="1"/>
      <c r="UZO224" s="1"/>
      <c r="UZP224" s="1"/>
      <c r="UZQ224" s="1"/>
      <c r="UZR224" s="1"/>
      <c r="UZS224" s="1"/>
      <c r="UZT224" s="1"/>
      <c r="UZU224" s="1"/>
      <c r="UZV224" s="1"/>
      <c r="UZW224" s="1"/>
      <c r="UZX224" s="1"/>
      <c r="UZY224" s="1"/>
      <c r="UZZ224" s="1"/>
      <c r="VAA224" s="1"/>
      <c r="VAB224" s="1"/>
      <c r="VAC224" s="1"/>
      <c r="VAD224" s="1"/>
      <c r="VAE224" s="1"/>
      <c r="VAF224" s="1"/>
      <c r="VAG224" s="1"/>
      <c r="VAH224" s="1"/>
      <c r="VAI224" s="1"/>
      <c r="VAJ224" s="1"/>
      <c r="VAK224" s="1"/>
      <c r="VAL224" s="1"/>
      <c r="VAM224" s="1"/>
      <c r="VAN224" s="1"/>
      <c r="VAO224" s="1"/>
      <c r="VAP224" s="1"/>
      <c r="VAQ224" s="1"/>
      <c r="VAR224" s="1"/>
      <c r="VAS224" s="1"/>
      <c r="VAT224" s="1"/>
      <c r="VAU224" s="1"/>
      <c r="VAV224" s="1"/>
      <c r="VAW224" s="1"/>
      <c r="VAX224" s="1"/>
      <c r="VAY224" s="1"/>
      <c r="VAZ224" s="1"/>
      <c r="VBA224" s="1"/>
      <c r="VBB224" s="1"/>
      <c r="VBC224" s="1"/>
      <c r="VBD224" s="1"/>
      <c r="VBE224" s="1"/>
      <c r="VBF224" s="1"/>
      <c r="VBG224" s="1"/>
      <c r="VBH224" s="1"/>
      <c r="VBI224" s="1"/>
      <c r="VBJ224" s="1"/>
      <c r="VBK224" s="1"/>
      <c r="VBL224" s="1"/>
      <c r="VBM224" s="1"/>
      <c r="VBN224" s="1"/>
      <c r="VBO224" s="1"/>
      <c r="VBP224" s="1"/>
      <c r="VBQ224" s="1"/>
      <c r="VBR224" s="1"/>
      <c r="VBS224" s="1"/>
      <c r="VBT224" s="1"/>
      <c r="VBU224" s="1"/>
      <c r="VBV224" s="1"/>
      <c r="VBW224" s="1"/>
      <c r="VBX224" s="1"/>
      <c r="VBY224" s="1"/>
      <c r="VBZ224" s="1"/>
      <c r="VCA224" s="1"/>
      <c r="VCB224" s="1"/>
      <c r="VCC224" s="1"/>
      <c r="VCD224" s="1"/>
      <c r="VCE224" s="1"/>
      <c r="VCF224" s="1"/>
      <c r="VCG224" s="1"/>
      <c r="VCH224" s="1"/>
      <c r="VCI224" s="1"/>
      <c r="VCJ224" s="1"/>
      <c r="VCK224" s="1"/>
      <c r="VCL224" s="1"/>
      <c r="VCM224" s="1"/>
      <c r="VCN224" s="1"/>
      <c r="VCO224" s="1"/>
      <c r="VCP224" s="1"/>
      <c r="VCQ224" s="1"/>
      <c r="VCR224" s="1"/>
      <c r="VCS224" s="1"/>
      <c r="VCT224" s="1"/>
      <c r="VCU224" s="1"/>
      <c r="VCV224" s="1"/>
      <c r="VCW224" s="1"/>
      <c r="VCX224" s="1"/>
      <c r="VCY224" s="1"/>
      <c r="VCZ224" s="1"/>
      <c r="VDA224" s="1"/>
      <c r="VDB224" s="1"/>
      <c r="VDC224" s="1"/>
      <c r="VDD224" s="1"/>
      <c r="VDE224" s="1"/>
      <c r="VDF224" s="1"/>
      <c r="VDG224" s="1"/>
      <c r="VDH224" s="1"/>
      <c r="VDI224" s="1"/>
      <c r="VDJ224" s="1"/>
      <c r="VDK224" s="1"/>
      <c r="VDL224" s="1"/>
      <c r="VDM224" s="1"/>
      <c r="VDN224" s="1"/>
      <c r="VDO224" s="1"/>
      <c r="VDP224" s="1"/>
      <c r="VDQ224" s="1"/>
      <c r="VDR224" s="1"/>
      <c r="VDS224" s="1"/>
      <c r="VDT224" s="1"/>
      <c r="VDU224" s="1"/>
      <c r="VDV224" s="1"/>
      <c r="VDW224" s="1"/>
      <c r="VDX224" s="1"/>
      <c r="VDY224" s="1"/>
      <c r="VDZ224" s="1"/>
      <c r="VEA224" s="1"/>
      <c r="VEB224" s="1"/>
      <c r="VEC224" s="1"/>
      <c r="VED224" s="1"/>
      <c r="VEE224" s="1"/>
      <c r="VEF224" s="1"/>
      <c r="VEG224" s="1"/>
      <c r="VEH224" s="1"/>
      <c r="VEI224" s="1"/>
      <c r="VEJ224" s="1"/>
      <c r="VEK224" s="1"/>
      <c r="VEL224" s="1"/>
      <c r="VEM224" s="1"/>
      <c r="VEN224" s="1"/>
      <c r="VEO224" s="1"/>
      <c r="VEP224" s="1"/>
      <c r="VEQ224" s="1"/>
      <c r="VER224" s="1"/>
      <c r="VES224" s="1"/>
      <c r="VET224" s="1"/>
      <c r="VEU224" s="1"/>
      <c r="VEV224" s="1"/>
      <c r="VEW224" s="1"/>
      <c r="VEX224" s="1"/>
      <c r="VEY224" s="1"/>
      <c r="VEZ224" s="1"/>
      <c r="VFA224" s="1"/>
      <c r="VFB224" s="1"/>
      <c r="VFC224" s="1"/>
      <c r="VFD224" s="1"/>
      <c r="VFE224" s="1"/>
      <c r="VFF224" s="1"/>
      <c r="VFG224" s="1"/>
      <c r="VFH224" s="1"/>
      <c r="VFI224" s="1"/>
      <c r="VFJ224" s="1"/>
      <c r="VFK224" s="1"/>
      <c r="VFL224" s="1"/>
      <c r="VFM224" s="1"/>
      <c r="VFN224" s="1"/>
      <c r="VFO224" s="1"/>
      <c r="VFP224" s="1"/>
      <c r="VFQ224" s="1"/>
      <c r="VFR224" s="1"/>
      <c r="VFS224" s="1"/>
      <c r="VFT224" s="1"/>
      <c r="VFU224" s="1"/>
      <c r="VFV224" s="1"/>
      <c r="VFW224" s="1"/>
      <c r="VFX224" s="1"/>
      <c r="VFY224" s="1"/>
      <c r="VFZ224" s="1"/>
      <c r="VGA224" s="1"/>
      <c r="VGB224" s="1"/>
      <c r="VGC224" s="1"/>
      <c r="VGD224" s="1"/>
      <c r="VGE224" s="1"/>
      <c r="VGF224" s="1"/>
      <c r="VGG224" s="1"/>
      <c r="VGH224" s="1"/>
      <c r="VGI224" s="1"/>
      <c r="VGJ224" s="1"/>
      <c r="VGK224" s="1"/>
      <c r="VGL224" s="1"/>
      <c r="VGM224" s="1"/>
      <c r="VGN224" s="1"/>
      <c r="VGO224" s="1"/>
      <c r="VGP224" s="1"/>
      <c r="VGQ224" s="1"/>
      <c r="VGR224" s="1"/>
      <c r="VGS224" s="1"/>
      <c r="VGT224" s="1"/>
      <c r="VGU224" s="1"/>
      <c r="VGV224" s="1"/>
      <c r="VGW224" s="1"/>
      <c r="VGX224" s="1"/>
      <c r="VGY224" s="1"/>
      <c r="VGZ224" s="1"/>
      <c r="VHA224" s="1"/>
      <c r="VHB224" s="1"/>
      <c r="VHC224" s="1"/>
      <c r="VHD224" s="1"/>
      <c r="VHE224" s="1"/>
      <c r="VHF224" s="1"/>
      <c r="VHG224" s="1"/>
      <c r="VHH224" s="1"/>
      <c r="VHI224" s="1"/>
      <c r="VHJ224" s="1"/>
      <c r="VHK224" s="1"/>
      <c r="VHL224" s="1"/>
      <c r="VHM224" s="1"/>
      <c r="VHN224" s="1"/>
      <c r="VHO224" s="1"/>
      <c r="VHP224" s="1"/>
      <c r="VHQ224" s="1"/>
      <c r="VHR224" s="1"/>
      <c r="VHS224" s="1"/>
      <c r="VHT224" s="1"/>
      <c r="VHU224" s="1"/>
      <c r="VHV224" s="1"/>
      <c r="VHW224" s="1"/>
      <c r="VHX224" s="1"/>
      <c r="VHY224" s="1"/>
      <c r="VHZ224" s="1"/>
      <c r="VIA224" s="1"/>
      <c r="VIB224" s="1"/>
      <c r="VIC224" s="1"/>
      <c r="VID224" s="1"/>
      <c r="VIE224" s="1"/>
      <c r="VIF224" s="1"/>
      <c r="VIG224" s="1"/>
      <c r="VIH224" s="1"/>
      <c r="VII224" s="1"/>
      <c r="VIJ224" s="1"/>
      <c r="VIK224" s="1"/>
      <c r="VIL224" s="1"/>
      <c r="VIM224" s="1"/>
      <c r="VIN224" s="1"/>
      <c r="VIO224" s="1"/>
      <c r="VIP224" s="1"/>
      <c r="VIQ224" s="1"/>
      <c r="VIR224" s="1"/>
      <c r="VIS224" s="1"/>
      <c r="VIT224" s="1"/>
      <c r="VIU224" s="1"/>
      <c r="VIV224" s="1"/>
      <c r="VIW224" s="1"/>
      <c r="VIX224" s="1"/>
      <c r="VIY224" s="1"/>
      <c r="VIZ224" s="1"/>
      <c r="VJA224" s="1"/>
      <c r="VJB224" s="1"/>
      <c r="VJC224" s="1"/>
      <c r="VJD224" s="1"/>
      <c r="VJE224" s="1"/>
      <c r="VJF224" s="1"/>
      <c r="VJG224" s="1"/>
      <c r="VJH224" s="1"/>
      <c r="VJI224" s="1"/>
      <c r="VJJ224" s="1"/>
      <c r="VJK224" s="1"/>
      <c r="VJL224" s="1"/>
      <c r="VJM224" s="1"/>
      <c r="VJN224" s="1"/>
      <c r="VJO224" s="1"/>
      <c r="VJP224" s="1"/>
      <c r="VJQ224" s="1"/>
      <c r="VJR224" s="1"/>
      <c r="VJS224" s="1"/>
      <c r="VJT224" s="1"/>
      <c r="VJU224" s="1"/>
      <c r="VJV224" s="1"/>
      <c r="VJW224" s="1"/>
      <c r="VJX224" s="1"/>
      <c r="VJY224" s="1"/>
      <c r="VJZ224" s="1"/>
      <c r="VKA224" s="1"/>
      <c r="VKB224" s="1"/>
      <c r="VKC224" s="1"/>
      <c r="VKD224" s="1"/>
      <c r="VKE224" s="1"/>
      <c r="VKF224" s="1"/>
      <c r="VKG224" s="1"/>
      <c r="VKH224" s="1"/>
      <c r="VKI224" s="1"/>
      <c r="VKJ224" s="1"/>
      <c r="VKK224" s="1"/>
      <c r="VKL224" s="1"/>
      <c r="VKM224" s="1"/>
      <c r="VKN224" s="1"/>
      <c r="VKO224" s="1"/>
      <c r="VKP224" s="1"/>
      <c r="VKQ224" s="1"/>
      <c r="VKR224" s="1"/>
      <c r="VKS224" s="1"/>
      <c r="VKT224" s="1"/>
      <c r="VKU224" s="1"/>
      <c r="VKV224" s="1"/>
      <c r="VKW224" s="1"/>
      <c r="VKX224" s="1"/>
      <c r="VKY224" s="1"/>
      <c r="VKZ224" s="1"/>
      <c r="VLA224" s="1"/>
      <c r="VLB224" s="1"/>
      <c r="VLC224" s="1"/>
      <c r="VLD224" s="1"/>
      <c r="VLE224" s="1"/>
      <c r="VLF224" s="1"/>
      <c r="VLG224" s="1"/>
      <c r="VLH224" s="1"/>
      <c r="VLI224" s="1"/>
      <c r="VLJ224" s="1"/>
      <c r="VLK224" s="1"/>
      <c r="VLL224" s="1"/>
      <c r="VLM224" s="1"/>
      <c r="VLN224" s="1"/>
      <c r="VLO224" s="1"/>
      <c r="VLP224" s="1"/>
      <c r="VLQ224" s="1"/>
      <c r="VLR224" s="1"/>
      <c r="VLS224" s="1"/>
      <c r="VLT224" s="1"/>
      <c r="VLU224" s="1"/>
      <c r="VLV224" s="1"/>
      <c r="VLW224" s="1"/>
      <c r="VLX224" s="1"/>
      <c r="VLY224" s="1"/>
      <c r="VLZ224" s="1"/>
      <c r="VMA224" s="1"/>
      <c r="VMB224" s="1"/>
      <c r="VMC224" s="1"/>
      <c r="VMD224" s="1"/>
      <c r="VME224" s="1"/>
      <c r="VMF224" s="1"/>
      <c r="VMG224" s="1"/>
      <c r="VMH224" s="1"/>
      <c r="VMI224" s="1"/>
      <c r="VMJ224" s="1"/>
      <c r="VMK224" s="1"/>
      <c r="VML224" s="1"/>
      <c r="VMM224" s="1"/>
      <c r="VMN224" s="1"/>
      <c r="VMO224" s="1"/>
      <c r="VMP224" s="1"/>
      <c r="VMQ224" s="1"/>
      <c r="VMR224" s="1"/>
      <c r="VMS224" s="1"/>
      <c r="VMT224" s="1"/>
      <c r="VMU224" s="1"/>
      <c r="VMV224" s="1"/>
      <c r="VMW224" s="1"/>
      <c r="VMX224" s="1"/>
      <c r="VMY224" s="1"/>
      <c r="VMZ224" s="1"/>
      <c r="VNA224" s="1"/>
      <c r="VNB224" s="1"/>
      <c r="VNC224" s="1"/>
      <c r="VND224" s="1"/>
      <c r="VNE224" s="1"/>
      <c r="VNF224" s="1"/>
      <c r="VNG224" s="1"/>
      <c r="VNH224" s="1"/>
      <c r="VNI224" s="1"/>
      <c r="VNJ224" s="1"/>
      <c r="VNK224" s="1"/>
      <c r="VNL224" s="1"/>
      <c r="VNM224" s="1"/>
      <c r="VNN224" s="1"/>
      <c r="VNO224" s="1"/>
      <c r="VNP224" s="1"/>
      <c r="VNQ224" s="1"/>
      <c r="VNR224" s="1"/>
      <c r="VNS224" s="1"/>
      <c r="VNT224" s="1"/>
      <c r="VNU224" s="1"/>
      <c r="VNV224" s="1"/>
      <c r="VNW224" s="1"/>
      <c r="VNX224" s="1"/>
      <c r="VNY224" s="1"/>
      <c r="VNZ224" s="1"/>
      <c r="VOA224" s="1"/>
      <c r="VOB224" s="1"/>
      <c r="VOC224" s="1"/>
      <c r="VOD224" s="1"/>
      <c r="VOE224" s="1"/>
      <c r="VOF224" s="1"/>
      <c r="VOG224" s="1"/>
      <c r="VOH224" s="1"/>
      <c r="VOI224" s="1"/>
      <c r="VOJ224" s="1"/>
      <c r="VOK224" s="1"/>
      <c r="VOL224" s="1"/>
      <c r="VOM224" s="1"/>
      <c r="VON224" s="1"/>
      <c r="VOO224" s="1"/>
      <c r="VOP224" s="1"/>
      <c r="VOQ224" s="1"/>
      <c r="VOR224" s="1"/>
      <c r="VOS224" s="1"/>
      <c r="VOT224" s="1"/>
      <c r="VOU224" s="1"/>
      <c r="VOV224" s="1"/>
      <c r="VOW224" s="1"/>
      <c r="VOX224" s="1"/>
      <c r="VOY224" s="1"/>
      <c r="VOZ224" s="1"/>
      <c r="VPA224" s="1"/>
      <c r="VPB224" s="1"/>
      <c r="VPC224" s="1"/>
      <c r="VPD224" s="1"/>
      <c r="VPE224" s="1"/>
      <c r="VPF224" s="1"/>
      <c r="VPG224" s="1"/>
      <c r="VPH224" s="1"/>
      <c r="VPI224" s="1"/>
      <c r="VPJ224" s="1"/>
      <c r="VPK224" s="1"/>
      <c r="VPL224" s="1"/>
      <c r="VPM224" s="1"/>
      <c r="VPN224" s="1"/>
      <c r="VPO224" s="1"/>
      <c r="VPP224" s="1"/>
      <c r="VPQ224" s="1"/>
      <c r="VPR224" s="1"/>
      <c r="VPS224" s="1"/>
      <c r="VPT224" s="1"/>
      <c r="VPU224" s="1"/>
      <c r="VPV224" s="1"/>
      <c r="VPW224" s="1"/>
      <c r="VPX224" s="1"/>
      <c r="VPY224" s="1"/>
      <c r="VPZ224" s="1"/>
      <c r="VQA224" s="1"/>
      <c r="VQB224" s="1"/>
      <c r="VQC224" s="1"/>
      <c r="VQD224" s="1"/>
      <c r="VQE224" s="1"/>
      <c r="VQF224" s="1"/>
      <c r="VQG224" s="1"/>
      <c r="VQH224" s="1"/>
      <c r="VQI224" s="1"/>
      <c r="VQJ224" s="1"/>
      <c r="VQK224" s="1"/>
      <c r="VQL224" s="1"/>
      <c r="VQM224" s="1"/>
      <c r="VQN224" s="1"/>
      <c r="VQO224" s="1"/>
      <c r="VQP224" s="1"/>
      <c r="VQQ224" s="1"/>
      <c r="VQR224" s="1"/>
      <c r="VQS224" s="1"/>
      <c r="VQT224" s="1"/>
      <c r="VQU224" s="1"/>
      <c r="VQV224" s="1"/>
      <c r="VQW224" s="1"/>
      <c r="VQX224" s="1"/>
      <c r="VQY224" s="1"/>
      <c r="VQZ224" s="1"/>
      <c r="VRA224" s="1"/>
      <c r="VRB224" s="1"/>
      <c r="VRC224" s="1"/>
      <c r="VRD224" s="1"/>
      <c r="VRE224" s="1"/>
      <c r="VRF224" s="1"/>
      <c r="VRG224" s="1"/>
      <c r="VRH224" s="1"/>
      <c r="VRI224" s="1"/>
      <c r="VRJ224" s="1"/>
      <c r="VRK224" s="1"/>
      <c r="VRL224" s="1"/>
      <c r="VRM224" s="1"/>
      <c r="VRN224" s="1"/>
      <c r="VRO224" s="1"/>
      <c r="VRP224" s="1"/>
      <c r="VRQ224" s="1"/>
      <c r="VRR224" s="1"/>
      <c r="VRS224" s="1"/>
      <c r="VRT224" s="1"/>
      <c r="VRU224" s="1"/>
      <c r="VRV224" s="1"/>
      <c r="VRW224" s="1"/>
      <c r="VRX224" s="1"/>
      <c r="VRY224" s="1"/>
      <c r="VRZ224" s="1"/>
      <c r="VSA224" s="1"/>
      <c r="VSB224" s="1"/>
      <c r="VSC224" s="1"/>
      <c r="VSD224" s="1"/>
      <c r="VSE224" s="1"/>
      <c r="VSF224" s="1"/>
      <c r="VSG224" s="1"/>
      <c r="VSH224" s="1"/>
      <c r="VSI224" s="1"/>
      <c r="VSJ224" s="1"/>
      <c r="VSK224" s="1"/>
      <c r="VSL224" s="1"/>
      <c r="VSM224" s="1"/>
      <c r="VSN224" s="1"/>
      <c r="VSO224" s="1"/>
      <c r="VSP224" s="1"/>
      <c r="VSQ224" s="1"/>
      <c r="VSR224" s="1"/>
      <c r="VSS224" s="1"/>
      <c r="VST224" s="1"/>
      <c r="VSU224" s="1"/>
      <c r="VSV224" s="1"/>
      <c r="VSW224" s="1"/>
      <c r="VSX224" s="1"/>
      <c r="VSY224" s="1"/>
      <c r="VSZ224" s="1"/>
      <c r="VTA224" s="1"/>
      <c r="VTB224" s="1"/>
      <c r="VTC224" s="1"/>
      <c r="VTD224" s="1"/>
      <c r="VTE224" s="1"/>
      <c r="VTF224" s="1"/>
      <c r="VTG224" s="1"/>
      <c r="VTH224" s="1"/>
      <c r="VTI224" s="1"/>
      <c r="VTJ224" s="1"/>
      <c r="VTK224" s="1"/>
      <c r="VTL224" s="1"/>
      <c r="VTM224" s="1"/>
      <c r="VTN224" s="1"/>
      <c r="VTO224" s="1"/>
      <c r="VTP224" s="1"/>
      <c r="VTQ224" s="1"/>
      <c r="VTR224" s="1"/>
      <c r="VTS224" s="1"/>
      <c r="VTT224" s="1"/>
      <c r="VTU224" s="1"/>
      <c r="VTV224" s="1"/>
      <c r="VTW224" s="1"/>
      <c r="VTX224" s="1"/>
      <c r="VTY224" s="1"/>
      <c r="VTZ224" s="1"/>
      <c r="VUA224" s="1"/>
      <c r="VUB224" s="1"/>
      <c r="VUC224" s="1"/>
      <c r="VUD224" s="1"/>
      <c r="VUE224" s="1"/>
      <c r="VUF224" s="1"/>
      <c r="VUG224" s="1"/>
      <c r="VUH224" s="1"/>
      <c r="VUI224" s="1"/>
      <c r="VUJ224" s="1"/>
      <c r="VUK224" s="1"/>
      <c r="VUL224" s="1"/>
      <c r="VUM224" s="1"/>
      <c r="VUN224" s="1"/>
      <c r="VUO224" s="1"/>
      <c r="VUP224" s="1"/>
      <c r="VUQ224" s="1"/>
      <c r="VUR224" s="1"/>
      <c r="VUS224" s="1"/>
      <c r="VUT224" s="1"/>
      <c r="VUU224" s="1"/>
      <c r="VUV224" s="1"/>
      <c r="VUW224" s="1"/>
      <c r="VUX224" s="1"/>
      <c r="VUY224" s="1"/>
      <c r="VUZ224" s="1"/>
      <c r="VVA224" s="1"/>
      <c r="VVB224" s="1"/>
      <c r="VVC224" s="1"/>
      <c r="VVD224" s="1"/>
      <c r="VVE224" s="1"/>
      <c r="VVF224" s="1"/>
      <c r="VVG224" s="1"/>
      <c r="VVH224" s="1"/>
      <c r="VVI224" s="1"/>
      <c r="VVJ224" s="1"/>
      <c r="VVK224" s="1"/>
      <c r="VVL224" s="1"/>
      <c r="VVM224" s="1"/>
      <c r="VVN224" s="1"/>
      <c r="VVO224" s="1"/>
      <c r="VVP224" s="1"/>
      <c r="VVQ224" s="1"/>
      <c r="VVR224" s="1"/>
      <c r="VVS224" s="1"/>
      <c r="VVT224" s="1"/>
      <c r="VVU224" s="1"/>
      <c r="VVV224" s="1"/>
      <c r="VVW224" s="1"/>
      <c r="VVX224" s="1"/>
      <c r="VVY224" s="1"/>
      <c r="VVZ224" s="1"/>
      <c r="VWA224" s="1"/>
      <c r="VWB224" s="1"/>
      <c r="VWC224" s="1"/>
      <c r="VWD224" s="1"/>
      <c r="VWE224" s="1"/>
      <c r="VWF224" s="1"/>
      <c r="VWG224" s="1"/>
      <c r="VWH224" s="1"/>
      <c r="VWI224" s="1"/>
      <c r="VWJ224" s="1"/>
      <c r="VWK224" s="1"/>
      <c r="VWL224" s="1"/>
      <c r="VWM224" s="1"/>
      <c r="VWN224" s="1"/>
      <c r="VWO224" s="1"/>
      <c r="VWP224" s="1"/>
      <c r="VWQ224" s="1"/>
      <c r="VWR224" s="1"/>
      <c r="VWS224" s="1"/>
      <c r="VWT224" s="1"/>
      <c r="VWU224" s="1"/>
      <c r="VWV224" s="1"/>
      <c r="VWW224" s="1"/>
      <c r="VWX224" s="1"/>
      <c r="VWY224" s="1"/>
      <c r="VWZ224" s="1"/>
      <c r="VXA224" s="1"/>
      <c r="VXB224" s="1"/>
      <c r="VXC224" s="1"/>
      <c r="VXD224" s="1"/>
      <c r="VXE224" s="1"/>
      <c r="VXF224" s="1"/>
      <c r="VXG224" s="1"/>
      <c r="VXH224" s="1"/>
      <c r="VXI224" s="1"/>
      <c r="VXJ224" s="1"/>
      <c r="VXK224" s="1"/>
      <c r="VXL224" s="1"/>
      <c r="VXM224" s="1"/>
      <c r="VXN224" s="1"/>
      <c r="VXO224" s="1"/>
      <c r="VXP224" s="1"/>
      <c r="VXQ224" s="1"/>
      <c r="VXR224" s="1"/>
      <c r="VXS224" s="1"/>
      <c r="VXT224" s="1"/>
      <c r="VXU224" s="1"/>
      <c r="VXV224" s="1"/>
      <c r="VXW224" s="1"/>
      <c r="VXX224" s="1"/>
      <c r="VXY224" s="1"/>
      <c r="VXZ224" s="1"/>
      <c r="VYA224" s="1"/>
      <c r="VYB224" s="1"/>
      <c r="VYC224" s="1"/>
      <c r="VYD224" s="1"/>
      <c r="VYE224" s="1"/>
      <c r="VYF224" s="1"/>
      <c r="VYG224" s="1"/>
      <c r="VYH224" s="1"/>
      <c r="VYI224" s="1"/>
      <c r="VYJ224" s="1"/>
      <c r="VYK224" s="1"/>
      <c r="VYL224" s="1"/>
      <c r="VYM224" s="1"/>
      <c r="VYN224" s="1"/>
      <c r="VYO224" s="1"/>
      <c r="VYP224" s="1"/>
      <c r="VYQ224" s="1"/>
      <c r="VYR224" s="1"/>
      <c r="VYS224" s="1"/>
      <c r="VYT224" s="1"/>
      <c r="VYU224" s="1"/>
      <c r="VYV224" s="1"/>
      <c r="VYW224" s="1"/>
      <c r="VYX224" s="1"/>
      <c r="VYY224" s="1"/>
      <c r="VYZ224" s="1"/>
      <c r="VZA224" s="1"/>
      <c r="VZB224" s="1"/>
      <c r="VZC224" s="1"/>
      <c r="VZD224" s="1"/>
      <c r="VZE224" s="1"/>
      <c r="VZF224" s="1"/>
      <c r="VZG224" s="1"/>
      <c r="VZH224" s="1"/>
      <c r="VZI224" s="1"/>
      <c r="VZJ224" s="1"/>
      <c r="VZK224" s="1"/>
      <c r="VZL224" s="1"/>
      <c r="VZM224" s="1"/>
      <c r="VZN224" s="1"/>
      <c r="VZO224" s="1"/>
      <c r="VZP224" s="1"/>
      <c r="VZQ224" s="1"/>
      <c r="VZR224" s="1"/>
      <c r="VZS224" s="1"/>
      <c r="VZT224" s="1"/>
      <c r="VZU224" s="1"/>
      <c r="VZV224" s="1"/>
      <c r="VZW224" s="1"/>
      <c r="VZX224" s="1"/>
      <c r="VZY224" s="1"/>
      <c r="VZZ224" s="1"/>
      <c r="WAA224" s="1"/>
      <c r="WAB224" s="1"/>
      <c r="WAC224" s="1"/>
      <c r="WAD224" s="1"/>
      <c r="WAE224" s="1"/>
      <c r="WAF224" s="1"/>
      <c r="WAG224" s="1"/>
      <c r="WAH224" s="1"/>
      <c r="WAI224" s="1"/>
      <c r="WAJ224" s="1"/>
      <c r="WAK224" s="1"/>
      <c r="WAL224" s="1"/>
      <c r="WAM224" s="1"/>
      <c r="WAN224" s="1"/>
      <c r="WAO224" s="1"/>
      <c r="WAP224" s="1"/>
      <c r="WAQ224" s="1"/>
      <c r="WAR224" s="1"/>
      <c r="WAS224" s="1"/>
      <c r="WAT224" s="1"/>
      <c r="WAU224" s="1"/>
      <c r="WAV224" s="1"/>
      <c r="WAW224" s="1"/>
      <c r="WAX224" s="1"/>
      <c r="WAY224" s="1"/>
      <c r="WAZ224" s="1"/>
      <c r="WBA224" s="1"/>
      <c r="WBB224" s="1"/>
      <c r="WBC224" s="1"/>
      <c r="WBD224" s="1"/>
      <c r="WBE224" s="1"/>
      <c r="WBF224" s="1"/>
      <c r="WBG224" s="1"/>
      <c r="WBH224" s="1"/>
      <c r="WBI224" s="1"/>
      <c r="WBJ224" s="1"/>
      <c r="WBK224" s="1"/>
      <c r="WBL224" s="1"/>
      <c r="WBM224" s="1"/>
      <c r="WBN224" s="1"/>
      <c r="WBO224" s="1"/>
      <c r="WBP224" s="1"/>
      <c r="WBQ224" s="1"/>
      <c r="WBR224" s="1"/>
      <c r="WBS224" s="1"/>
      <c r="WBT224" s="1"/>
      <c r="WBU224" s="1"/>
      <c r="WBV224" s="1"/>
      <c r="WBW224" s="1"/>
      <c r="WBX224" s="1"/>
      <c r="WBY224" s="1"/>
      <c r="WBZ224" s="1"/>
      <c r="WCA224" s="1"/>
      <c r="WCB224" s="1"/>
      <c r="WCC224" s="1"/>
      <c r="WCD224" s="1"/>
      <c r="WCE224" s="1"/>
      <c r="WCF224" s="1"/>
      <c r="WCG224" s="1"/>
      <c r="WCH224" s="1"/>
      <c r="WCI224" s="1"/>
      <c r="WCJ224" s="1"/>
      <c r="WCK224" s="1"/>
      <c r="WCL224" s="1"/>
      <c r="WCM224" s="1"/>
      <c r="WCN224" s="1"/>
      <c r="WCO224" s="1"/>
      <c r="WCP224" s="1"/>
      <c r="WCQ224" s="1"/>
      <c r="WCR224" s="1"/>
      <c r="WCS224" s="1"/>
      <c r="WCT224" s="1"/>
      <c r="WCU224" s="1"/>
      <c r="WCV224" s="1"/>
      <c r="WCW224" s="1"/>
      <c r="WCX224" s="1"/>
      <c r="WCY224" s="1"/>
      <c r="WCZ224" s="1"/>
      <c r="WDA224" s="1"/>
      <c r="WDB224" s="1"/>
      <c r="WDC224" s="1"/>
      <c r="WDD224" s="1"/>
      <c r="WDE224" s="1"/>
      <c r="WDF224" s="1"/>
      <c r="WDG224" s="1"/>
      <c r="WDH224" s="1"/>
      <c r="WDI224" s="1"/>
      <c r="WDJ224" s="1"/>
      <c r="WDK224" s="1"/>
      <c r="WDL224" s="1"/>
      <c r="WDM224" s="1"/>
      <c r="WDN224" s="1"/>
      <c r="WDO224" s="1"/>
      <c r="WDP224" s="1"/>
      <c r="WDQ224" s="1"/>
      <c r="WDR224" s="1"/>
      <c r="WDS224" s="1"/>
      <c r="WDT224" s="1"/>
      <c r="WDU224" s="1"/>
      <c r="WDV224" s="1"/>
      <c r="WDW224" s="1"/>
      <c r="WDX224" s="1"/>
      <c r="WDY224" s="1"/>
      <c r="WDZ224" s="1"/>
      <c r="WEA224" s="1"/>
      <c r="WEB224" s="1"/>
      <c r="WEC224" s="1"/>
      <c r="WED224" s="1"/>
      <c r="WEE224" s="1"/>
      <c r="WEF224" s="1"/>
      <c r="WEG224" s="1"/>
      <c r="WEH224" s="1"/>
      <c r="WEI224" s="1"/>
      <c r="WEJ224" s="1"/>
      <c r="WEK224" s="1"/>
      <c r="WEL224" s="1"/>
      <c r="WEM224" s="1"/>
      <c r="WEN224" s="1"/>
      <c r="WEO224" s="1"/>
      <c r="WEP224" s="1"/>
      <c r="WEQ224" s="1"/>
      <c r="WER224" s="1"/>
      <c r="WES224" s="1"/>
      <c r="WET224" s="1"/>
      <c r="WEU224" s="1"/>
      <c r="WEV224" s="1"/>
      <c r="WEW224" s="1"/>
      <c r="WEX224" s="1"/>
      <c r="WEY224" s="1"/>
      <c r="WEZ224" s="1"/>
      <c r="WFA224" s="1"/>
      <c r="WFB224" s="1"/>
      <c r="WFC224" s="1"/>
      <c r="WFD224" s="1"/>
      <c r="WFE224" s="1"/>
      <c r="WFF224" s="1"/>
      <c r="WFG224" s="1"/>
      <c r="WFH224" s="1"/>
      <c r="WFI224" s="1"/>
      <c r="WFJ224" s="1"/>
      <c r="WFK224" s="1"/>
      <c r="WFL224" s="1"/>
      <c r="WFM224" s="1"/>
      <c r="WFN224" s="1"/>
      <c r="WFO224" s="1"/>
      <c r="WFP224" s="1"/>
      <c r="WFQ224" s="1"/>
      <c r="WFR224" s="1"/>
      <c r="WFS224" s="1"/>
      <c r="WFT224" s="1"/>
      <c r="WFU224" s="1"/>
      <c r="WFV224" s="1"/>
      <c r="WFW224" s="1"/>
      <c r="WFX224" s="1"/>
      <c r="WFY224" s="1"/>
      <c r="WFZ224" s="1"/>
      <c r="WGA224" s="1"/>
      <c r="WGB224" s="1"/>
      <c r="WGC224" s="1"/>
      <c r="WGD224" s="1"/>
      <c r="WGE224" s="1"/>
      <c r="WGF224" s="1"/>
      <c r="WGG224" s="1"/>
      <c r="WGH224" s="1"/>
      <c r="WGI224" s="1"/>
      <c r="WGJ224" s="1"/>
      <c r="WGK224" s="1"/>
      <c r="WGL224" s="1"/>
      <c r="WGM224" s="1"/>
      <c r="WGN224" s="1"/>
      <c r="WGO224" s="1"/>
      <c r="WGP224" s="1"/>
      <c r="WGQ224" s="1"/>
      <c r="WGR224" s="1"/>
      <c r="WGS224" s="1"/>
      <c r="WGT224" s="1"/>
      <c r="WGU224" s="1"/>
      <c r="WGV224" s="1"/>
      <c r="WGW224" s="1"/>
      <c r="WGX224" s="1"/>
      <c r="WGY224" s="1"/>
      <c r="WGZ224" s="1"/>
      <c r="WHA224" s="1"/>
      <c r="WHB224" s="1"/>
      <c r="WHC224" s="1"/>
      <c r="WHD224" s="1"/>
      <c r="WHE224" s="1"/>
      <c r="WHF224" s="1"/>
      <c r="WHG224" s="1"/>
      <c r="WHH224" s="1"/>
      <c r="WHI224" s="1"/>
      <c r="WHJ224" s="1"/>
      <c r="WHK224" s="1"/>
      <c r="WHL224" s="1"/>
      <c r="WHM224" s="1"/>
      <c r="WHN224" s="1"/>
      <c r="WHO224" s="1"/>
      <c r="WHP224" s="1"/>
      <c r="WHQ224" s="1"/>
      <c r="WHR224" s="1"/>
      <c r="WHS224" s="1"/>
      <c r="WHT224" s="1"/>
      <c r="WHU224" s="1"/>
      <c r="WHV224" s="1"/>
      <c r="WHW224" s="1"/>
      <c r="WHX224" s="1"/>
      <c r="WHY224" s="1"/>
      <c r="WHZ224" s="1"/>
      <c r="WIA224" s="1"/>
      <c r="WIB224" s="1"/>
      <c r="WIC224" s="1"/>
      <c r="WID224" s="1"/>
      <c r="WIE224" s="1"/>
      <c r="WIF224" s="1"/>
      <c r="WIG224" s="1"/>
      <c r="WIH224" s="1"/>
      <c r="WII224" s="1"/>
      <c r="WIJ224" s="1"/>
      <c r="WIK224" s="1"/>
      <c r="WIL224" s="1"/>
      <c r="WIM224" s="1"/>
      <c r="WIN224" s="1"/>
      <c r="WIO224" s="1"/>
      <c r="WIP224" s="1"/>
      <c r="WIQ224" s="1"/>
      <c r="WIR224" s="1"/>
      <c r="WIS224" s="1"/>
      <c r="WIT224" s="1"/>
      <c r="WIU224" s="1"/>
      <c r="WIV224" s="1"/>
      <c r="WIW224" s="1"/>
      <c r="WIX224" s="1"/>
      <c r="WIY224" s="1"/>
      <c r="WIZ224" s="1"/>
      <c r="WJA224" s="1"/>
      <c r="WJB224" s="1"/>
      <c r="WJC224" s="1"/>
      <c r="WJD224" s="1"/>
      <c r="WJE224" s="1"/>
      <c r="WJF224" s="1"/>
      <c r="WJG224" s="1"/>
      <c r="WJH224" s="1"/>
      <c r="WJI224" s="1"/>
      <c r="WJJ224" s="1"/>
      <c r="WJK224" s="1"/>
      <c r="WJL224" s="1"/>
      <c r="WJM224" s="1"/>
      <c r="WJN224" s="1"/>
      <c r="WJO224" s="1"/>
      <c r="WJP224" s="1"/>
      <c r="WJQ224" s="1"/>
      <c r="WJR224" s="1"/>
      <c r="WJS224" s="1"/>
      <c r="WJT224" s="1"/>
      <c r="WJU224" s="1"/>
      <c r="WJV224" s="1"/>
      <c r="WJW224" s="1"/>
      <c r="WJX224" s="1"/>
      <c r="WJY224" s="1"/>
      <c r="WJZ224" s="1"/>
      <c r="WKA224" s="1"/>
      <c r="WKB224" s="1"/>
      <c r="WKC224" s="1"/>
      <c r="WKD224" s="1"/>
      <c r="WKE224" s="1"/>
      <c r="WKF224" s="1"/>
      <c r="WKG224" s="1"/>
      <c r="WKH224" s="1"/>
      <c r="WKI224" s="1"/>
      <c r="WKJ224" s="1"/>
      <c r="WKK224" s="1"/>
      <c r="WKL224" s="1"/>
      <c r="WKM224" s="1"/>
      <c r="WKN224" s="1"/>
      <c r="WKO224" s="1"/>
      <c r="WKP224" s="1"/>
      <c r="WKQ224" s="1"/>
      <c r="WKR224" s="1"/>
      <c r="WKS224" s="1"/>
      <c r="WKT224" s="1"/>
      <c r="WKU224" s="1"/>
      <c r="WKV224" s="1"/>
      <c r="WKW224" s="1"/>
      <c r="WKX224" s="1"/>
      <c r="WKY224" s="1"/>
      <c r="WKZ224" s="1"/>
      <c r="WLA224" s="1"/>
      <c r="WLB224" s="1"/>
      <c r="WLC224" s="1"/>
      <c r="WLD224" s="1"/>
      <c r="WLE224" s="1"/>
      <c r="WLF224" s="1"/>
      <c r="WLG224" s="1"/>
      <c r="WLH224" s="1"/>
      <c r="WLI224" s="1"/>
      <c r="WLJ224" s="1"/>
      <c r="WLK224" s="1"/>
      <c r="WLL224" s="1"/>
      <c r="WLM224" s="1"/>
      <c r="WLN224" s="1"/>
      <c r="WLO224" s="1"/>
      <c r="WLP224" s="1"/>
      <c r="WLQ224" s="1"/>
      <c r="WLR224" s="1"/>
      <c r="WLS224" s="1"/>
      <c r="WLT224" s="1"/>
      <c r="WLU224" s="1"/>
      <c r="WLV224" s="1"/>
      <c r="WLW224" s="1"/>
      <c r="WLX224" s="1"/>
      <c r="WLY224" s="1"/>
      <c r="WLZ224" s="1"/>
      <c r="WMA224" s="1"/>
      <c r="WMB224" s="1"/>
      <c r="WMC224" s="1"/>
      <c r="WMD224" s="1"/>
      <c r="WME224" s="1"/>
      <c r="WMF224" s="1"/>
      <c r="WMG224" s="1"/>
      <c r="WMH224" s="1"/>
      <c r="WMI224" s="1"/>
      <c r="WMJ224" s="1"/>
      <c r="WMK224" s="1"/>
      <c r="WML224" s="1"/>
      <c r="WMM224" s="1"/>
      <c r="WMN224" s="1"/>
      <c r="WMO224" s="1"/>
      <c r="WMP224" s="1"/>
      <c r="WMQ224" s="1"/>
      <c r="WMR224" s="1"/>
      <c r="WMS224" s="1"/>
      <c r="WMT224" s="1"/>
      <c r="WMU224" s="1"/>
      <c r="WMV224" s="1"/>
      <c r="WMW224" s="1"/>
      <c r="WMX224" s="1"/>
      <c r="WMY224" s="1"/>
      <c r="WMZ224" s="1"/>
      <c r="WNA224" s="1"/>
      <c r="WNB224" s="1"/>
      <c r="WNC224" s="1"/>
      <c r="WND224" s="1"/>
      <c r="WNE224" s="1"/>
      <c r="WNF224" s="1"/>
      <c r="WNG224" s="1"/>
      <c r="WNH224" s="1"/>
      <c r="WNI224" s="1"/>
      <c r="WNJ224" s="1"/>
      <c r="WNK224" s="1"/>
      <c r="WNL224" s="1"/>
      <c r="WNM224" s="1"/>
      <c r="WNN224" s="1"/>
      <c r="WNO224" s="1"/>
      <c r="WNP224" s="1"/>
      <c r="WNQ224" s="1"/>
      <c r="WNR224" s="1"/>
      <c r="WNS224" s="1"/>
      <c r="WNT224" s="1"/>
      <c r="WNU224" s="1"/>
      <c r="WNV224" s="1"/>
      <c r="WNW224" s="1"/>
      <c r="WNX224" s="1"/>
      <c r="WNY224" s="1"/>
      <c r="WNZ224" s="1"/>
      <c r="WOA224" s="1"/>
      <c r="WOB224" s="1"/>
      <c r="WOC224" s="1"/>
      <c r="WOD224" s="1"/>
      <c r="WOE224" s="1"/>
      <c r="WOF224" s="1"/>
      <c r="WOG224" s="1"/>
      <c r="WOH224" s="1"/>
      <c r="WOI224" s="1"/>
      <c r="WOJ224" s="1"/>
      <c r="WOK224" s="1"/>
      <c r="WOL224" s="1"/>
      <c r="WOM224" s="1"/>
      <c r="WON224" s="1"/>
      <c r="WOO224" s="1"/>
      <c r="WOP224" s="1"/>
      <c r="WOQ224" s="1"/>
      <c r="WOR224" s="1"/>
      <c r="WOS224" s="1"/>
      <c r="WOT224" s="1"/>
      <c r="WOU224" s="1"/>
      <c r="WOV224" s="1"/>
      <c r="WOW224" s="1"/>
      <c r="WOX224" s="1"/>
      <c r="WOY224" s="1"/>
      <c r="WOZ224" s="1"/>
      <c r="WPA224" s="1"/>
      <c r="WPB224" s="1"/>
      <c r="WPC224" s="1"/>
      <c r="WPD224" s="1"/>
      <c r="WPE224" s="1"/>
      <c r="WPF224" s="1"/>
      <c r="WPG224" s="1"/>
      <c r="WPH224" s="1"/>
      <c r="WPI224" s="1"/>
      <c r="WPJ224" s="1"/>
      <c r="WPK224" s="1"/>
      <c r="WPL224" s="1"/>
      <c r="WPM224" s="1"/>
      <c r="WPN224" s="1"/>
      <c r="WPO224" s="1"/>
      <c r="WPP224" s="1"/>
      <c r="WPQ224" s="1"/>
      <c r="WPR224" s="1"/>
      <c r="WPS224" s="1"/>
      <c r="WPT224" s="1"/>
      <c r="WPU224" s="1"/>
      <c r="WPV224" s="1"/>
      <c r="WPW224" s="1"/>
      <c r="WPX224" s="1"/>
      <c r="WPY224" s="1"/>
      <c r="WPZ224" s="1"/>
      <c r="WQA224" s="1"/>
      <c r="WQB224" s="1"/>
      <c r="WQC224" s="1"/>
      <c r="WQD224" s="1"/>
      <c r="WQE224" s="1"/>
      <c r="WQF224" s="1"/>
      <c r="WQG224" s="1"/>
      <c r="WQH224" s="1"/>
      <c r="WQI224" s="1"/>
      <c r="WQJ224" s="1"/>
      <c r="WQK224" s="1"/>
      <c r="WQL224" s="1"/>
      <c r="WQM224" s="1"/>
      <c r="WQN224" s="1"/>
      <c r="WQO224" s="1"/>
      <c r="WQP224" s="1"/>
      <c r="WQQ224" s="1"/>
      <c r="WQR224" s="1"/>
      <c r="WQS224" s="1"/>
      <c r="WQT224" s="1"/>
      <c r="WQU224" s="1"/>
      <c r="WQV224" s="1"/>
      <c r="WQW224" s="1"/>
      <c r="WQX224" s="1"/>
      <c r="WQY224" s="1"/>
      <c r="WQZ224" s="1"/>
      <c r="WRA224" s="1"/>
      <c r="WRB224" s="1"/>
      <c r="WRC224" s="1"/>
      <c r="WRD224" s="1"/>
      <c r="WRE224" s="1"/>
      <c r="WRF224" s="1"/>
      <c r="WRG224" s="1"/>
      <c r="WRH224" s="1"/>
      <c r="WRI224" s="1"/>
      <c r="WRJ224" s="1"/>
      <c r="WRK224" s="1"/>
      <c r="WRL224" s="1"/>
      <c r="WRM224" s="1"/>
      <c r="WRN224" s="1"/>
      <c r="WRO224" s="1"/>
      <c r="WRP224" s="1"/>
      <c r="WRQ224" s="1"/>
      <c r="WRR224" s="1"/>
      <c r="WRS224" s="1"/>
      <c r="WRT224" s="1"/>
      <c r="WRU224" s="1"/>
      <c r="WRV224" s="1"/>
      <c r="WRW224" s="1"/>
      <c r="WRX224" s="1"/>
      <c r="WRY224" s="1"/>
      <c r="WRZ224" s="1"/>
      <c r="WSA224" s="1"/>
      <c r="WSB224" s="1"/>
      <c r="WSC224" s="1"/>
      <c r="WSD224" s="1"/>
      <c r="WSE224" s="1"/>
      <c r="WSF224" s="1"/>
      <c r="WSG224" s="1"/>
      <c r="WSH224" s="1"/>
      <c r="WSI224" s="1"/>
      <c r="WSJ224" s="1"/>
      <c r="WSK224" s="1"/>
      <c r="WSL224" s="1"/>
      <c r="WSM224" s="1"/>
      <c r="WSN224" s="1"/>
      <c r="WSO224" s="1"/>
      <c r="WSP224" s="1"/>
      <c r="WSQ224" s="1"/>
      <c r="WSR224" s="1"/>
      <c r="WSS224" s="1"/>
      <c r="WST224" s="1"/>
      <c r="WSU224" s="1"/>
      <c r="WSV224" s="1"/>
      <c r="WSW224" s="1"/>
      <c r="WSX224" s="1"/>
      <c r="WSY224" s="1"/>
      <c r="WSZ224" s="1"/>
      <c r="WTA224" s="1"/>
      <c r="WTB224" s="1"/>
      <c r="WTC224" s="1"/>
      <c r="WTD224" s="1"/>
      <c r="WTE224" s="1"/>
      <c r="WTF224" s="1"/>
      <c r="WTG224" s="1"/>
      <c r="WTH224" s="1"/>
      <c r="WTI224" s="1"/>
      <c r="WTJ224" s="1"/>
      <c r="WTK224" s="1"/>
      <c r="WTL224" s="1"/>
      <c r="WTM224" s="1"/>
      <c r="WTN224" s="1"/>
      <c r="WTO224" s="1"/>
      <c r="WTP224" s="1"/>
      <c r="WTQ224" s="1"/>
      <c r="WTR224" s="1"/>
      <c r="WTS224" s="1"/>
      <c r="WTT224" s="1"/>
      <c r="WTU224" s="1"/>
      <c r="WTV224" s="1"/>
      <c r="WTW224" s="1"/>
      <c r="WTX224" s="1"/>
      <c r="WTY224" s="1"/>
    </row>
    <row r="225" spans="5:5">
      <c r="E225" s="50"/>
    </row>
  </sheetData>
  <mergeCells count="89">
    <mergeCell ref="B142:B155"/>
    <mergeCell ref="A33:A34"/>
    <mergeCell ref="B124:B130"/>
    <mergeCell ref="E124:E127"/>
    <mergeCell ref="E128:E130"/>
    <mergeCell ref="A114:A117"/>
    <mergeCell ref="B114:C114"/>
    <mergeCell ref="B115:B117"/>
    <mergeCell ref="B103:B106"/>
    <mergeCell ref="B108:C108"/>
    <mergeCell ref="B92:B98"/>
    <mergeCell ref="E101:E102"/>
    <mergeCell ref="E103:E104"/>
    <mergeCell ref="A103:A107"/>
    <mergeCell ref="B66:C66"/>
    <mergeCell ref="E67:E69"/>
    <mergeCell ref="E70:E76"/>
    <mergeCell ref="A159:A160"/>
    <mergeCell ref="E139:E140"/>
    <mergeCell ref="E132:E138"/>
    <mergeCell ref="E105:E106"/>
    <mergeCell ref="E156:E157"/>
    <mergeCell ref="E115:E117"/>
    <mergeCell ref="B118:C118"/>
    <mergeCell ref="E119:E121"/>
    <mergeCell ref="B119:B121"/>
    <mergeCell ref="B159:C159"/>
    <mergeCell ref="E145:E147"/>
    <mergeCell ref="E148:E151"/>
    <mergeCell ref="E142:E144"/>
    <mergeCell ref="B122:B123"/>
    <mergeCell ref="E122:E123"/>
    <mergeCell ref="B132:B138"/>
    <mergeCell ref="B139:B140"/>
    <mergeCell ref="A118:A138"/>
    <mergeCell ref="A161:C161"/>
    <mergeCell ref="E154:E155"/>
    <mergeCell ref="E83:E86"/>
    <mergeCell ref="E87:E91"/>
    <mergeCell ref="B83:B91"/>
    <mergeCell ref="A83:A102"/>
    <mergeCell ref="E152:E153"/>
    <mergeCell ref="E95:E98"/>
    <mergeCell ref="B109:B113"/>
    <mergeCell ref="A108:A113"/>
    <mergeCell ref="E109:E113"/>
    <mergeCell ref="E92:E94"/>
    <mergeCell ref="B99:B102"/>
    <mergeCell ref="E99:E100"/>
    <mergeCell ref="B67:B82"/>
    <mergeCell ref="A66:A82"/>
    <mergeCell ref="E77:E82"/>
    <mergeCell ref="A61:A65"/>
    <mergeCell ref="B62:B63"/>
    <mergeCell ref="E62:E63"/>
    <mergeCell ref="E64:E65"/>
    <mergeCell ref="A55:A60"/>
    <mergeCell ref="B55:C55"/>
    <mergeCell ref="B56:B60"/>
    <mergeCell ref="E56:E60"/>
    <mergeCell ref="A35:A50"/>
    <mergeCell ref="B36:B48"/>
    <mergeCell ref="E36:E42"/>
    <mergeCell ref="E44:E48"/>
    <mergeCell ref="A51:A54"/>
    <mergeCell ref="B51:C51"/>
    <mergeCell ref="E52:E54"/>
    <mergeCell ref="E49:E50"/>
    <mergeCell ref="B16:B17"/>
    <mergeCell ref="B18:B28"/>
    <mergeCell ref="A14:A17"/>
    <mergeCell ref="A18:A29"/>
    <mergeCell ref="E16:E17"/>
    <mergeCell ref="E18:E28"/>
    <mergeCell ref="A139:A155"/>
    <mergeCell ref="B156:B158"/>
    <mergeCell ref="A156:A158"/>
    <mergeCell ref="A1:E1"/>
    <mergeCell ref="A2:E2"/>
    <mergeCell ref="A5:A13"/>
    <mergeCell ref="B5:C5"/>
    <mergeCell ref="B10:B13"/>
    <mergeCell ref="E12:E13"/>
    <mergeCell ref="B6:B9"/>
    <mergeCell ref="E6:E9"/>
    <mergeCell ref="B14:C14"/>
    <mergeCell ref="A30:A32"/>
    <mergeCell ref="E31:E32"/>
    <mergeCell ref="B31:B32"/>
  </mergeCells>
  <printOptions horizontalCentered="1"/>
  <pageMargins left="0.27559055118110237" right="0.27559055118110237" top="0.6692913385826772" bottom="0.39370078740157483" header="0.31496062992125984" footer="0.31496062992125984"/>
  <pageSetup paperSize="9" scale="62" fitToHeight="0" orientation="landscape" horizontalDpi="4294967295" verticalDpi="4294967295" r:id="rId1"/>
  <headerFooter scaleWithDoc="0" alignWithMargins="0">
    <oddFooter>Strona &amp;P z &amp;N</oddFooter>
  </headerFooter>
  <rowBreaks count="5" manualBreakCount="5">
    <brk id="50" max="4" man="1"/>
    <brk id="82" max="4" man="1"/>
    <brk id="117" max="4" man="1"/>
    <brk id="138" max="4" man="1"/>
    <brk id="15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07A86-7A50-4651-9827-18AF5AD4BEC0}">
  <sheetPr>
    <tabColor rgb="FF00B0F0"/>
  </sheetPr>
  <dimension ref="A1:F76"/>
  <sheetViews>
    <sheetView view="pageBreakPreview" zoomScale="85" zoomScaleSheetLayoutView="85" workbookViewId="0">
      <pane ySplit="4" topLeftCell="A50" activePane="bottomLeft" state="frozen"/>
      <selection activeCell="E80" sqref="E80"/>
      <selection pane="bottomLeft" activeCell="J50" sqref="J50"/>
    </sheetView>
  </sheetViews>
  <sheetFormatPr defaultColWidth="9.85546875" defaultRowHeight="14.25"/>
  <cols>
    <col min="1" max="1" width="6.85546875" style="139" customWidth="1"/>
    <col min="2" max="2" width="18.140625" style="139" customWidth="1"/>
    <col min="3" max="3" width="59.42578125" style="140" customWidth="1"/>
    <col min="4" max="4" width="14.85546875" style="139" customWidth="1"/>
    <col min="5" max="5" width="20.42578125" style="141" customWidth="1"/>
    <col min="6" max="6" width="30.42578125" style="139" customWidth="1"/>
    <col min="7" max="16384" width="9.85546875" style="120"/>
  </cols>
  <sheetData>
    <row r="1" spans="1:6" ht="69" customHeight="1">
      <c r="A1" s="5086" t="s">
        <v>190</v>
      </c>
      <c r="B1" s="5086"/>
      <c r="C1" s="5086"/>
      <c r="D1" s="5086"/>
      <c r="E1" s="5086"/>
      <c r="F1" s="5086"/>
    </row>
    <row r="2" spans="1:6" ht="15" thickBot="1">
      <c r="A2" s="121"/>
      <c r="B2" s="122"/>
      <c r="C2" s="123"/>
      <c r="D2" s="122"/>
      <c r="E2" s="122"/>
      <c r="F2" s="124" t="s">
        <v>0</v>
      </c>
    </row>
    <row r="3" spans="1:6" ht="30.75" customHeight="1" thickBot="1">
      <c r="A3" s="5087" t="s">
        <v>1</v>
      </c>
      <c r="B3" s="5087" t="s">
        <v>2</v>
      </c>
      <c r="C3" s="5087" t="s">
        <v>191</v>
      </c>
      <c r="D3" s="5087" t="s">
        <v>192</v>
      </c>
      <c r="E3" s="5087" t="s">
        <v>139</v>
      </c>
      <c r="F3" s="5087" t="s">
        <v>193</v>
      </c>
    </row>
    <row r="4" spans="1:6" ht="34.5" customHeight="1" thickBot="1">
      <c r="A4" s="5087"/>
      <c r="B4" s="5087"/>
      <c r="C4" s="5087"/>
      <c r="D4" s="5087"/>
      <c r="E4" s="5087"/>
      <c r="F4" s="5087"/>
    </row>
    <row r="5" spans="1:6" ht="15" thickBot="1">
      <c r="A5" s="145" t="s">
        <v>133</v>
      </c>
      <c r="B5" s="145" t="s">
        <v>134</v>
      </c>
      <c r="C5" s="145" t="s">
        <v>135</v>
      </c>
      <c r="D5" s="145" t="s">
        <v>136</v>
      </c>
      <c r="E5" s="145" t="s">
        <v>137</v>
      </c>
      <c r="F5" s="145" t="s">
        <v>268</v>
      </c>
    </row>
    <row r="6" spans="1:6" ht="25.5" customHeight="1">
      <c r="A6" s="5095">
        <v>600</v>
      </c>
      <c r="B6" s="5092"/>
      <c r="C6" s="5093"/>
      <c r="D6" s="5094"/>
      <c r="E6" s="131">
        <f>SUM(E7:E32)</f>
        <v>823006451</v>
      </c>
      <c r="F6" s="132"/>
    </row>
    <row r="7" spans="1:6" ht="39.75" customHeight="1">
      <c r="A7" s="5079"/>
      <c r="B7" s="127">
        <v>60001</v>
      </c>
      <c r="C7" s="146" t="s">
        <v>194</v>
      </c>
      <c r="D7" s="127" t="s">
        <v>195</v>
      </c>
      <c r="E7" s="128">
        <v>341940000</v>
      </c>
      <c r="F7" s="5088" t="s">
        <v>196</v>
      </c>
    </row>
    <row r="8" spans="1:6" ht="39" customHeight="1">
      <c r="A8" s="5079"/>
      <c r="B8" s="127">
        <v>60002</v>
      </c>
      <c r="C8" s="146" t="s">
        <v>269</v>
      </c>
      <c r="D8" s="127" t="s">
        <v>197</v>
      </c>
      <c r="E8" s="128">
        <v>100555545</v>
      </c>
      <c r="F8" s="5089"/>
    </row>
    <row r="9" spans="1:6" ht="46.5" customHeight="1">
      <c r="A9" s="5079"/>
      <c r="B9" s="5100">
        <v>60013</v>
      </c>
      <c r="C9" s="146" t="s">
        <v>198</v>
      </c>
      <c r="D9" s="127" t="s">
        <v>199</v>
      </c>
      <c r="E9" s="128">
        <v>4371423</v>
      </c>
      <c r="F9" s="5088" t="s">
        <v>200</v>
      </c>
    </row>
    <row r="10" spans="1:6" ht="46.5" customHeight="1">
      <c r="A10" s="5079"/>
      <c r="B10" s="5099"/>
      <c r="C10" s="146" t="s">
        <v>201</v>
      </c>
      <c r="D10" s="127" t="s">
        <v>195</v>
      </c>
      <c r="E10" s="128">
        <v>27059605</v>
      </c>
      <c r="F10" s="5076"/>
    </row>
    <row r="11" spans="1:6" ht="36" customHeight="1">
      <c r="A11" s="5079"/>
      <c r="B11" s="5099"/>
      <c r="C11" s="146" t="s">
        <v>202</v>
      </c>
      <c r="D11" s="127" t="s">
        <v>203</v>
      </c>
      <c r="E11" s="128">
        <v>71001181</v>
      </c>
      <c r="F11" s="5076"/>
    </row>
    <row r="12" spans="1:6" ht="69" customHeight="1">
      <c r="A12" s="5079"/>
      <c r="B12" s="5099"/>
      <c r="C12" s="146" t="s">
        <v>204</v>
      </c>
      <c r="D12" s="127" t="s">
        <v>205</v>
      </c>
      <c r="E12" s="128">
        <v>30400000</v>
      </c>
      <c r="F12" s="5076"/>
    </row>
    <row r="13" spans="1:6" ht="39" customHeight="1">
      <c r="A13" s="5079"/>
      <c r="B13" s="5099"/>
      <c r="C13" s="146" t="s">
        <v>206</v>
      </c>
      <c r="D13" s="127" t="s">
        <v>207</v>
      </c>
      <c r="E13" s="128">
        <v>23989948</v>
      </c>
      <c r="F13" s="5076"/>
    </row>
    <row r="14" spans="1:6" ht="39.75" customHeight="1">
      <c r="A14" s="5091"/>
      <c r="B14" s="5101"/>
      <c r="C14" s="146" t="s">
        <v>208</v>
      </c>
      <c r="D14" s="127" t="s">
        <v>199</v>
      </c>
      <c r="E14" s="128">
        <v>6384515</v>
      </c>
      <c r="F14" s="5089"/>
    </row>
    <row r="15" spans="1:6" ht="91.5" customHeight="1">
      <c r="A15" s="5090">
        <v>600</v>
      </c>
      <c r="B15" s="5100">
        <v>60013</v>
      </c>
      <c r="C15" s="146" t="s">
        <v>209</v>
      </c>
      <c r="D15" s="127" t="s">
        <v>210</v>
      </c>
      <c r="E15" s="130">
        <v>22076969</v>
      </c>
      <c r="F15" s="5088" t="s">
        <v>211</v>
      </c>
    </row>
    <row r="16" spans="1:6" ht="57">
      <c r="A16" s="5079"/>
      <c r="B16" s="5099"/>
      <c r="C16" s="146" t="s">
        <v>212</v>
      </c>
      <c r="D16" s="127" t="s">
        <v>213</v>
      </c>
      <c r="E16" s="130">
        <v>51360000</v>
      </c>
      <c r="F16" s="5076"/>
    </row>
    <row r="17" spans="1:6" ht="48" customHeight="1">
      <c r="A17" s="5079"/>
      <c r="B17" s="5099"/>
      <c r="C17" s="146" t="s">
        <v>214</v>
      </c>
      <c r="D17" s="127" t="s">
        <v>215</v>
      </c>
      <c r="E17" s="130">
        <v>15525000</v>
      </c>
      <c r="F17" s="5076"/>
    </row>
    <row r="18" spans="1:6" ht="45" customHeight="1">
      <c r="A18" s="5079"/>
      <c r="B18" s="5099"/>
      <c r="C18" s="146" t="s">
        <v>216</v>
      </c>
      <c r="D18" s="127" t="s">
        <v>215</v>
      </c>
      <c r="E18" s="130">
        <v>2000000</v>
      </c>
      <c r="F18" s="5076"/>
    </row>
    <row r="19" spans="1:6" ht="45" customHeight="1">
      <c r="A19" s="5079"/>
      <c r="B19" s="5099"/>
      <c r="C19" s="146" t="s">
        <v>217</v>
      </c>
      <c r="D19" s="127" t="s">
        <v>218</v>
      </c>
      <c r="E19" s="130">
        <v>200000</v>
      </c>
      <c r="F19" s="5076"/>
    </row>
    <row r="20" spans="1:6" ht="31.5" customHeight="1">
      <c r="A20" s="5079"/>
      <c r="B20" s="5099"/>
      <c r="C20" s="146" t="s">
        <v>219</v>
      </c>
      <c r="D20" s="127" t="s">
        <v>220</v>
      </c>
      <c r="E20" s="130">
        <v>200000</v>
      </c>
      <c r="F20" s="5076"/>
    </row>
    <row r="21" spans="1:6" ht="49.5" customHeight="1">
      <c r="A21" s="5079"/>
      <c r="B21" s="5099"/>
      <c r="C21" s="146" t="s">
        <v>221</v>
      </c>
      <c r="D21" s="127" t="s">
        <v>215</v>
      </c>
      <c r="E21" s="130">
        <v>2800000</v>
      </c>
      <c r="F21" s="5076"/>
    </row>
    <row r="22" spans="1:6" ht="68.25" customHeight="1">
      <c r="A22" s="5079"/>
      <c r="B22" s="5099"/>
      <c r="C22" s="146" t="s">
        <v>222</v>
      </c>
      <c r="D22" s="127" t="s">
        <v>223</v>
      </c>
      <c r="E22" s="130">
        <v>5370000</v>
      </c>
      <c r="F22" s="5076"/>
    </row>
    <row r="23" spans="1:6" ht="31.5" customHeight="1">
      <c r="A23" s="5079"/>
      <c r="B23" s="5099"/>
      <c r="C23" s="146" t="s">
        <v>224</v>
      </c>
      <c r="D23" s="127" t="s">
        <v>225</v>
      </c>
      <c r="E23" s="130">
        <v>17537000</v>
      </c>
      <c r="F23" s="5076"/>
    </row>
    <row r="24" spans="1:6" ht="33" customHeight="1">
      <c r="A24" s="5091"/>
      <c r="B24" s="5101"/>
      <c r="C24" s="146" t="s">
        <v>226</v>
      </c>
      <c r="D24" s="127" t="s">
        <v>227</v>
      </c>
      <c r="E24" s="130">
        <v>615000</v>
      </c>
      <c r="F24" s="5089"/>
    </row>
    <row r="25" spans="1:6" ht="48" customHeight="1">
      <c r="A25" s="5090">
        <v>600</v>
      </c>
      <c r="B25" s="5100">
        <v>60013</v>
      </c>
      <c r="C25" s="154" t="s">
        <v>228</v>
      </c>
      <c r="D25" s="147" t="s">
        <v>215</v>
      </c>
      <c r="E25" s="155">
        <v>33968319</v>
      </c>
      <c r="F25" s="5088" t="s">
        <v>200</v>
      </c>
    </row>
    <row r="26" spans="1:6" ht="48" customHeight="1">
      <c r="A26" s="5079"/>
      <c r="B26" s="5099"/>
      <c r="C26" s="146" t="s">
        <v>229</v>
      </c>
      <c r="D26" s="127" t="s">
        <v>220</v>
      </c>
      <c r="E26" s="130">
        <v>600000</v>
      </c>
      <c r="F26" s="5076"/>
    </row>
    <row r="27" spans="1:6" ht="48" customHeight="1">
      <c r="A27" s="5079"/>
      <c r="B27" s="5099"/>
      <c r="C27" s="146" t="s">
        <v>230</v>
      </c>
      <c r="D27" s="127" t="s">
        <v>220</v>
      </c>
      <c r="E27" s="130">
        <v>3000000</v>
      </c>
      <c r="F27" s="5076"/>
    </row>
    <row r="28" spans="1:6" ht="48" customHeight="1">
      <c r="A28" s="5079"/>
      <c r="B28" s="5099"/>
      <c r="C28" s="146" t="s">
        <v>231</v>
      </c>
      <c r="D28" s="127" t="s">
        <v>223</v>
      </c>
      <c r="E28" s="130">
        <v>40800000</v>
      </c>
      <c r="F28" s="5076"/>
    </row>
    <row r="29" spans="1:6" ht="48" customHeight="1">
      <c r="A29" s="5079"/>
      <c r="B29" s="5099"/>
      <c r="C29" s="146" t="s">
        <v>232</v>
      </c>
      <c r="D29" s="127" t="s">
        <v>223</v>
      </c>
      <c r="E29" s="130">
        <v>17213500</v>
      </c>
      <c r="F29" s="5089"/>
    </row>
    <row r="30" spans="1:6" ht="77.25" customHeight="1">
      <c r="A30" s="5079"/>
      <c r="B30" s="5099"/>
      <c r="C30" s="146" t="s">
        <v>233</v>
      </c>
      <c r="D30" s="127" t="s">
        <v>223</v>
      </c>
      <c r="E30" s="130">
        <v>2677520</v>
      </c>
      <c r="F30" s="5088" t="s">
        <v>196</v>
      </c>
    </row>
    <row r="31" spans="1:6" ht="44.25" customHeight="1">
      <c r="A31" s="5079"/>
      <c r="B31" s="5101"/>
      <c r="C31" s="146" t="s">
        <v>234</v>
      </c>
      <c r="D31" s="127" t="s">
        <v>223</v>
      </c>
      <c r="E31" s="130">
        <v>300000</v>
      </c>
      <c r="F31" s="5076"/>
    </row>
    <row r="32" spans="1:6" ht="46.5" customHeight="1">
      <c r="A32" s="5091"/>
      <c r="B32" s="127">
        <v>60014</v>
      </c>
      <c r="C32" s="146" t="s">
        <v>235</v>
      </c>
      <c r="D32" s="127" t="s">
        <v>199</v>
      </c>
      <c r="E32" s="130">
        <v>1060926</v>
      </c>
      <c r="F32" s="5089"/>
    </row>
    <row r="33" spans="1:6" ht="27" customHeight="1">
      <c r="A33" s="5090">
        <v>720</v>
      </c>
      <c r="B33" s="5096"/>
      <c r="C33" s="5097"/>
      <c r="D33" s="5098"/>
      <c r="E33" s="125">
        <f>SUM(E34:E35)</f>
        <v>11666430</v>
      </c>
      <c r="F33" s="126"/>
    </row>
    <row r="34" spans="1:6" ht="27" customHeight="1">
      <c r="A34" s="5079"/>
      <c r="B34" s="5084">
        <v>72095</v>
      </c>
      <c r="C34" s="146" t="s">
        <v>236</v>
      </c>
      <c r="D34" s="127" t="s">
        <v>237</v>
      </c>
      <c r="E34" s="128">
        <v>11566430</v>
      </c>
      <c r="F34" s="5088" t="s">
        <v>196</v>
      </c>
    </row>
    <row r="35" spans="1:6" ht="38.25" customHeight="1">
      <c r="A35" s="5091"/>
      <c r="B35" s="5085"/>
      <c r="C35" s="148" t="s">
        <v>238</v>
      </c>
      <c r="D35" s="127" t="s">
        <v>239</v>
      </c>
      <c r="E35" s="128">
        <v>100000</v>
      </c>
      <c r="F35" s="5089"/>
    </row>
    <row r="36" spans="1:6" ht="27.75" customHeight="1">
      <c r="A36" s="5078">
        <v>750</v>
      </c>
      <c r="B36" s="5096"/>
      <c r="C36" s="5097"/>
      <c r="D36" s="5098"/>
      <c r="E36" s="125">
        <f>SUM(E37:E41)</f>
        <v>2260784</v>
      </c>
      <c r="F36" s="126"/>
    </row>
    <row r="37" spans="1:6" ht="39" customHeight="1">
      <c r="A37" s="5079"/>
      <c r="B37" s="5099">
        <v>75018</v>
      </c>
      <c r="C37" s="146" t="s">
        <v>242</v>
      </c>
      <c r="D37" s="127" t="s">
        <v>223</v>
      </c>
      <c r="E37" s="128">
        <v>46000</v>
      </c>
      <c r="F37" s="5076" t="s">
        <v>196</v>
      </c>
    </row>
    <row r="38" spans="1:6" ht="24.75" customHeight="1">
      <c r="A38" s="5079"/>
      <c r="B38" s="5085"/>
      <c r="C38" s="146" t="s">
        <v>243</v>
      </c>
      <c r="D38" s="127" t="s">
        <v>223</v>
      </c>
      <c r="E38" s="128">
        <v>150000</v>
      </c>
      <c r="F38" s="5076"/>
    </row>
    <row r="39" spans="1:6" ht="24.75" customHeight="1">
      <c r="A39" s="5079"/>
      <c r="B39" s="5081" t="s">
        <v>244</v>
      </c>
      <c r="C39" s="4031" t="s">
        <v>240</v>
      </c>
      <c r="D39" s="4032" t="s">
        <v>241</v>
      </c>
      <c r="E39" s="4033">
        <v>1176471</v>
      </c>
      <c r="F39" s="5076"/>
    </row>
    <row r="40" spans="1:6" ht="48" customHeight="1">
      <c r="A40" s="5079"/>
      <c r="B40" s="5082"/>
      <c r="C40" s="146" t="s">
        <v>245</v>
      </c>
      <c r="D40" s="127" t="s">
        <v>223</v>
      </c>
      <c r="E40" s="128">
        <v>3001</v>
      </c>
      <c r="F40" s="5076"/>
    </row>
    <row r="41" spans="1:6" ht="57.75" customHeight="1">
      <c r="A41" s="5080"/>
      <c r="B41" s="5083"/>
      <c r="C41" s="146" t="s">
        <v>246</v>
      </c>
      <c r="D41" s="127" t="s">
        <v>237</v>
      </c>
      <c r="E41" s="128">
        <v>885312</v>
      </c>
      <c r="F41" s="5077"/>
    </row>
    <row r="42" spans="1:6" ht="29.25" customHeight="1">
      <c r="A42" s="5078">
        <v>851</v>
      </c>
      <c r="B42" s="5102"/>
      <c r="C42" s="5103"/>
      <c r="D42" s="5104"/>
      <c r="E42" s="4037">
        <f>SUM(E43:E49)</f>
        <v>68250506</v>
      </c>
      <c r="F42" s="4038"/>
    </row>
    <row r="43" spans="1:6" ht="63.75" customHeight="1">
      <c r="A43" s="5079"/>
      <c r="B43" s="5084">
        <v>85111</v>
      </c>
      <c r="C43" s="4031" t="s">
        <v>247</v>
      </c>
      <c r="D43" s="4032" t="s">
        <v>237</v>
      </c>
      <c r="E43" s="4033">
        <v>20969038</v>
      </c>
      <c r="F43" s="5121" t="s">
        <v>248</v>
      </c>
    </row>
    <row r="44" spans="1:6" ht="61.5" customHeight="1">
      <c r="A44" s="5079"/>
      <c r="B44" s="5099"/>
      <c r="C44" s="4031" t="s">
        <v>249</v>
      </c>
      <c r="D44" s="4032" t="s">
        <v>195</v>
      </c>
      <c r="E44" s="4033">
        <v>9718337</v>
      </c>
      <c r="F44" s="5076"/>
    </row>
    <row r="45" spans="1:6" ht="22.5" customHeight="1">
      <c r="A45" s="5079"/>
      <c r="B45" s="5099"/>
      <c r="C45" s="4031" t="s">
        <v>250</v>
      </c>
      <c r="D45" s="4032" t="s">
        <v>195</v>
      </c>
      <c r="E45" s="4033">
        <v>12007008</v>
      </c>
      <c r="F45" s="5076"/>
    </row>
    <row r="46" spans="1:6" ht="47.25" customHeight="1">
      <c r="A46" s="5079"/>
      <c r="B46" s="5099"/>
      <c r="C46" s="4031" t="s">
        <v>251</v>
      </c>
      <c r="D46" s="4032" t="s">
        <v>223</v>
      </c>
      <c r="E46" s="4033">
        <v>244050</v>
      </c>
      <c r="F46" s="5076"/>
    </row>
    <row r="47" spans="1:6" ht="47.25" customHeight="1">
      <c r="A47" s="5080"/>
      <c r="B47" s="5085"/>
      <c r="C47" s="4031" t="s">
        <v>252</v>
      </c>
      <c r="D47" s="4032" t="s">
        <v>215</v>
      </c>
      <c r="E47" s="4033">
        <v>4846912</v>
      </c>
      <c r="F47" s="5077"/>
    </row>
    <row r="48" spans="1:6" ht="78" customHeight="1">
      <c r="A48" s="5079">
        <v>851</v>
      </c>
      <c r="B48" s="5099">
        <v>85111</v>
      </c>
      <c r="C48" s="4035" t="s">
        <v>253</v>
      </c>
      <c r="D48" s="4034" t="s">
        <v>223</v>
      </c>
      <c r="E48" s="4036">
        <v>7426191</v>
      </c>
      <c r="F48" s="5076" t="s">
        <v>248</v>
      </c>
    </row>
    <row r="49" spans="1:6" ht="36.75" customHeight="1">
      <c r="A49" s="5091"/>
      <c r="B49" s="5101"/>
      <c r="C49" s="146" t="s">
        <v>254</v>
      </c>
      <c r="D49" s="127" t="s">
        <v>223</v>
      </c>
      <c r="E49" s="128">
        <v>13038970</v>
      </c>
      <c r="F49" s="5089"/>
    </row>
    <row r="50" spans="1:6" ht="27.75" customHeight="1">
      <c r="A50" s="5090">
        <v>921</v>
      </c>
      <c r="B50" s="5092"/>
      <c r="C50" s="5093"/>
      <c r="D50" s="5094"/>
      <c r="E50" s="131">
        <f>SUM(E51:E55)</f>
        <v>4772943</v>
      </c>
      <c r="F50" s="132"/>
    </row>
    <row r="51" spans="1:6" ht="45" customHeight="1">
      <c r="A51" s="5079"/>
      <c r="B51" s="127">
        <v>92106</v>
      </c>
      <c r="C51" s="146" t="s">
        <v>255</v>
      </c>
      <c r="D51" s="127" t="s">
        <v>195</v>
      </c>
      <c r="E51" s="128">
        <v>1231650</v>
      </c>
      <c r="F51" s="129" t="s">
        <v>256</v>
      </c>
    </row>
    <row r="52" spans="1:6" ht="33.75" customHeight="1">
      <c r="A52" s="5079"/>
      <c r="B52" s="5100">
        <v>92109</v>
      </c>
      <c r="C52" s="146" t="s">
        <v>257</v>
      </c>
      <c r="D52" s="127" t="s">
        <v>258</v>
      </c>
      <c r="E52" s="128">
        <v>1200538</v>
      </c>
      <c r="F52" s="129" t="s">
        <v>196</v>
      </c>
    </row>
    <row r="53" spans="1:6" ht="61.5" customHeight="1">
      <c r="A53" s="5079"/>
      <c r="B53" s="5099"/>
      <c r="C53" s="146" t="s">
        <v>259</v>
      </c>
      <c r="D53" s="127" t="s">
        <v>215</v>
      </c>
      <c r="E53" s="128">
        <v>500000</v>
      </c>
      <c r="F53" s="129" t="s">
        <v>260</v>
      </c>
    </row>
    <row r="54" spans="1:6" ht="37.5" customHeight="1">
      <c r="A54" s="5079"/>
      <c r="B54" s="5101"/>
      <c r="C54" s="146" t="s">
        <v>261</v>
      </c>
      <c r="D54" s="127" t="s">
        <v>197</v>
      </c>
      <c r="E54" s="128">
        <v>450000</v>
      </c>
      <c r="F54" s="129" t="s">
        <v>196</v>
      </c>
    </row>
    <row r="55" spans="1:6" ht="65.25" customHeight="1">
      <c r="A55" s="5091"/>
      <c r="B55" s="127">
        <v>92118</v>
      </c>
      <c r="C55" s="150" t="s">
        <v>262</v>
      </c>
      <c r="D55" s="133" t="s">
        <v>195</v>
      </c>
      <c r="E55" s="134">
        <v>1390755</v>
      </c>
      <c r="F55" s="129" t="s">
        <v>263</v>
      </c>
    </row>
    <row r="56" spans="1:6" ht="26.25" customHeight="1">
      <c r="A56" s="135"/>
      <c r="B56" s="5108"/>
      <c r="C56" s="5109"/>
      <c r="D56" s="5109"/>
      <c r="E56" s="5109"/>
      <c r="F56" s="5110"/>
    </row>
    <row r="57" spans="1:6" ht="21" customHeight="1">
      <c r="A57" s="135">
        <v>150</v>
      </c>
      <c r="B57" s="127">
        <v>15011</v>
      </c>
      <c r="C57" s="5111" t="s">
        <v>264</v>
      </c>
      <c r="D57" s="5100" t="s">
        <v>265</v>
      </c>
      <c r="E57" s="5105">
        <v>11191126</v>
      </c>
      <c r="F57" s="5088" t="s">
        <v>196</v>
      </c>
    </row>
    <row r="58" spans="1:6" ht="24.75" customHeight="1">
      <c r="A58" s="136">
        <v>851</v>
      </c>
      <c r="B58" s="127">
        <v>85111</v>
      </c>
      <c r="C58" s="5112"/>
      <c r="D58" s="5101"/>
      <c r="E58" s="5113"/>
      <c r="F58" s="5089"/>
    </row>
    <row r="59" spans="1:6" ht="21" customHeight="1">
      <c r="A59" s="136">
        <v>630</v>
      </c>
      <c r="B59" s="127">
        <v>63095</v>
      </c>
      <c r="C59" s="5117" t="s">
        <v>266</v>
      </c>
      <c r="D59" s="5100" t="s">
        <v>265</v>
      </c>
      <c r="E59" s="5105">
        <v>1135726</v>
      </c>
      <c r="F59" s="5088" t="s">
        <v>196</v>
      </c>
    </row>
    <row r="60" spans="1:6" ht="21" customHeight="1">
      <c r="A60" s="5090">
        <v>700</v>
      </c>
      <c r="B60" s="127">
        <v>70005</v>
      </c>
      <c r="C60" s="5118"/>
      <c r="D60" s="5099"/>
      <c r="E60" s="5106"/>
      <c r="F60" s="5076"/>
    </row>
    <row r="61" spans="1:6" ht="21" customHeight="1">
      <c r="A61" s="5091"/>
      <c r="B61" s="127">
        <v>70095</v>
      </c>
      <c r="C61" s="5118"/>
      <c r="D61" s="5099"/>
      <c r="E61" s="5106"/>
      <c r="F61" s="5076"/>
    </row>
    <row r="62" spans="1:6" ht="21" customHeight="1">
      <c r="A62" s="136">
        <v>750</v>
      </c>
      <c r="B62" s="127">
        <v>75095</v>
      </c>
      <c r="C62" s="5118"/>
      <c r="D62" s="5099"/>
      <c r="E62" s="5106"/>
      <c r="F62" s="5076"/>
    </row>
    <row r="63" spans="1:6" ht="21" customHeight="1">
      <c r="A63" s="136">
        <v>801</v>
      </c>
      <c r="B63" s="127">
        <v>80104</v>
      </c>
      <c r="C63" s="5118"/>
      <c r="D63" s="5099"/>
      <c r="E63" s="5106"/>
      <c r="F63" s="5076"/>
    </row>
    <row r="64" spans="1:6" ht="21" customHeight="1">
      <c r="A64" s="136">
        <v>900</v>
      </c>
      <c r="B64" s="127">
        <v>90095</v>
      </c>
      <c r="C64" s="5118"/>
      <c r="D64" s="5099"/>
      <c r="E64" s="5106"/>
      <c r="F64" s="5076"/>
    </row>
    <row r="65" spans="1:6" ht="21" customHeight="1">
      <c r="A65" s="5090">
        <v>921</v>
      </c>
      <c r="B65" s="127">
        <v>92109</v>
      </c>
      <c r="C65" s="5118"/>
      <c r="D65" s="5099"/>
      <c r="E65" s="5106"/>
      <c r="F65" s="5076"/>
    </row>
    <row r="66" spans="1:6" ht="21" customHeight="1">
      <c r="A66" s="5079"/>
      <c r="B66" s="127">
        <v>92118</v>
      </c>
      <c r="C66" s="5118"/>
      <c r="D66" s="5099"/>
      <c r="E66" s="5106"/>
      <c r="F66" s="5076"/>
    </row>
    <row r="67" spans="1:6" ht="21" customHeight="1">
      <c r="A67" s="5079"/>
      <c r="B67" s="127">
        <v>92120</v>
      </c>
      <c r="C67" s="5118"/>
      <c r="D67" s="5099"/>
      <c r="E67" s="5106"/>
      <c r="F67" s="5076"/>
    </row>
    <row r="68" spans="1:6" ht="21" customHeight="1">
      <c r="A68" s="5091"/>
      <c r="B68" s="127">
        <v>92195</v>
      </c>
      <c r="C68" s="5119"/>
      <c r="D68" s="5101"/>
      <c r="E68" s="5113"/>
      <c r="F68" s="5089"/>
    </row>
    <row r="69" spans="1:6" ht="20.25" customHeight="1">
      <c r="A69" s="5090">
        <v>750</v>
      </c>
      <c r="B69" s="149">
        <v>75018</v>
      </c>
      <c r="C69" s="5111" t="s">
        <v>267</v>
      </c>
      <c r="D69" s="5100" t="s">
        <v>239</v>
      </c>
      <c r="E69" s="5105">
        <v>13198930</v>
      </c>
      <c r="F69" s="5088" t="s">
        <v>248</v>
      </c>
    </row>
    <row r="70" spans="1:6" ht="20.25" customHeight="1">
      <c r="A70" s="5091"/>
      <c r="B70" s="149">
        <v>75095</v>
      </c>
      <c r="C70" s="5114"/>
      <c r="D70" s="5099"/>
      <c r="E70" s="5106"/>
      <c r="F70" s="5076"/>
    </row>
    <row r="71" spans="1:6" ht="20.25" customHeight="1" thickBot="1">
      <c r="A71" s="137">
        <v>853</v>
      </c>
      <c r="B71" s="151">
        <v>85332</v>
      </c>
      <c r="C71" s="5115"/>
      <c r="D71" s="5116"/>
      <c r="E71" s="5107"/>
      <c r="F71" s="5122"/>
    </row>
    <row r="72" spans="1:6" s="138" customFormat="1" ht="26.25" customHeight="1" thickBot="1">
      <c r="A72" s="5120" t="s">
        <v>132</v>
      </c>
      <c r="B72" s="5120"/>
      <c r="C72" s="5120"/>
      <c r="D72" s="5120"/>
      <c r="E72" s="152">
        <f>SUM(E6,E33,E36,E42,E50,E57:E71)</f>
        <v>935482896</v>
      </c>
      <c r="F72" s="153"/>
    </row>
    <row r="76" spans="1:6">
      <c r="E76" s="4030">
        <f>'inwestycje jednoroczne'!D161+'inwestycje wieloletnie'!E72</f>
        <v>1135152812</v>
      </c>
    </row>
  </sheetData>
  <mergeCells count="55">
    <mergeCell ref="A72:D72"/>
    <mergeCell ref="B15:B24"/>
    <mergeCell ref="B25:B31"/>
    <mergeCell ref="F25:F29"/>
    <mergeCell ref="B43:B47"/>
    <mergeCell ref="A42:A47"/>
    <mergeCell ref="A48:A49"/>
    <mergeCell ref="B48:B49"/>
    <mergeCell ref="F43:F47"/>
    <mergeCell ref="F48:F49"/>
    <mergeCell ref="B52:B54"/>
    <mergeCell ref="F30:F32"/>
    <mergeCell ref="F69:F71"/>
    <mergeCell ref="A60:A61"/>
    <mergeCell ref="A65:A68"/>
    <mergeCell ref="A69:A70"/>
    <mergeCell ref="E69:E71"/>
    <mergeCell ref="B56:F56"/>
    <mergeCell ref="C57:C58"/>
    <mergeCell ref="D57:D58"/>
    <mergeCell ref="E57:E58"/>
    <mergeCell ref="F57:F58"/>
    <mergeCell ref="E59:E68"/>
    <mergeCell ref="F59:F68"/>
    <mergeCell ref="C69:C71"/>
    <mergeCell ref="D69:D71"/>
    <mergeCell ref="C59:C68"/>
    <mergeCell ref="D59:D68"/>
    <mergeCell ref="A50:A55"/>
    <mergeCell ref="B50:D50"/>
    <mergeCell ref="A6:A14"/>
    <mergeCell ref="B6:D6"/>
    <mergeCell ref="A15:A24"/>
    <mergeCell ref="A25:A32"/>
    <mergeCell ref="A33:A35"/>
    <mergeCell ref="B33:D33"/>
    <mergeCell ref="B37:B38"/>
    <mergeCell ref="B9:B14"/>
    <mergeCell ref="B36:D36"/>
    <mergeCell ref="B42:D42"/>
    <mergeCell ref="F37:F41"/>
    <mergeCell ref="A36:A41"/>
    <mergeCell ref="B39:B41"/>
    <mergeCell ref="B34:B35"/>
    <mergeCell ref="A1:F1"/>
    <mergeCell ref="A3:A4"/>
    <mergeCell ref="B3:B4"/>
    <mergeCell ref="C3:C4"/>
    <mergeCell ref="D3:D4"/>
    <mergeCell ref="E3:E4"/>
    <mergeCell ref="F3:F4"/>
    <mergeCell ref="F34:F35"/>
    <mergeCell ref="F7:F8"/>
    <mergeCell ref="F9:F14"/>
    <mergeCell ref="F15:F24"/>
  </mergeCells>
  <printOptions horizontalCentered="1"/>
  <pageMargins left="0" right="0" top="0.59055118110236227" bottom="0.39370078740157483" header="0.31496062992125984" footer="0.31496062992125984"/>
  <pageSetup paperSize="9" scale="90" fitToHeight="0" orientation="landscape" horizontalDpi="4294967295" verticalDpi="4294967295" r:id="rId1"/>
  <headerFooter>
    <oddFooter>Strona &amp;P z &amp;N</oddFooter>
  </headerFooter>
  <rowBreaks count="2" manualBreakCount="2">
    <brk id="35" max="5" man="1"/>
    <brk id="5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8</vt:i4>
      </vt:variant>
    </vt:vector>
  </HeadingPairs>
  <TitlesOfParts>
    <vt:vector size="12" baseType="lpstr">
      <vt:lpstr>dochody-porównanie</vt:lpstr>
      <vt:lpstr>wydatki-porównanie</vt:lpstr>
      <vt:lpstr>inwestycje jednoroczne</vt:lpstr>
      <vt:lpstr>inwestycje wieloletnie</vt:lpstr>
      <vt:lpstr>'dochody-porównanie'!Obszar_wydruku</vt:lpstr>
      <vt:lpstr>'inwestycje jednoroczne'!Obszar_wydruku</vt:lpstr>
      <vt:lpstr>'inwestycje wieloletnie'!Obszar_wydruku</vt:lpstr>
      <vt:lpstr>'wydatki-porównanie'!Obszar_wydruku</vt:lpstr>
      <vt:lpstr>'dochody-porównanie'!Tytuły_wydruku</vt:lpstr>
      <vt:lpstr>'inwestycje jednoroczne'!Tytuły_wydruku</vt:lpstr>
      <vt:lpstr>'inwestycje wieloletnie'!Tytuły_wydruku</vt:lpstr>
      <vt:lpstr>'wydatki-porównanie'!Tytuły_wydruku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Gruszczyńska Diana</dc:creator>
  <cp:lastModifiedBy>Gruszczyńska Diana</cp:lastModifiedBy>
  <cp:lastPrinted>2022-11-10T10:56:02Z</cp:lastPrinted>
  <dcterms:created xsi:type="dcterms:W3CDTF">2022-11-08T07:30:59Z</dcterms:created>
  <dcterms:modified xsi:type="dcterms:W3CDTF">2022-11-14T09:17:28Z</dcterms:modified>
</cp:coreProperties>
</file>